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ustomProperty36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37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B799A8A3-C2D2-41CF-8348-B779A92A9BD7}" xr6:coauthVersionLast="47" xr6:coauthVersionMax="47" xr10:uidLastSave="{00000000-0000-0000-0000-000000000000}"/>
  <bookViews>
    <workbookView xWindow="33720" yWindow="-120" windowWidth="29040" windowHeight="15720" tabRatio="808" firstSheet="1" activeTab="1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OBXValues" sheetId="16" r:id="rId14"/>
    <sheet name="Total bill impacts" sheetId="15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3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4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3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4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F16" i="9" l="1"/>
  <c r="F10" i="16" l="1"/>
  <c r="F26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7" i="19"/>
  <c r="G34" i="19"/>
  <c r="G33" i="19"/>
  <c r="F31" i="19"/>
  <c r="G29" i="19"/>
  <c r="G27" i="19"/>
  <c r="G25" i="19"/>
  <c r="G23" i="19"/>
  <c r="G21" i="19"/>
  <c r="G19" i="19"/>
  <c r="G17" i="19"/>
  <c r="G15" i="19"/>
  <c r="G14" i="19"/>
  <c r="G12" i="19"/>
  <c r="G10" i="19"/>
  <c r="G8" i="19"/>
  <c r="G6" i="19"/>
  <c r="G4" i="19"/>
  <c r="G3" i="19"/>
  <c r="E2" i="19"/>
  <c r="D4" i="18"/>
  <c r="C4" i="18"/>
  <c r="E1" i="18"/>
  <c r="A1" i="18"/>
  <c r="D4" i="17"/>
  <c r="C4" i="17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E21" i="13"/>
  <c r="G16" i="13"/>
  <c r="E16" i="13"/>
  <c r="G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E28" i="12"/>
  <c r="G23" i="12"/>
  <c r="F23" i="12"/>
  <c r="E23" i="12"/>
  <c r="G22" i="12"/>
  <c r="E22" i="12"/>
  <c r="G21" i="12"/>
  <c r="F21" i="12"/>
  <c r="E21" i="12"/>
  <c r="G16" i="12"/>
  <c r="E16" i="12"/>
  <c r="G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E16" i="9"/>
  <c r="G15" i="9"/>
  <c r="E15" i="9"/>
  <c r="G10" i="9"/>
  <c r="F10" i="9"/>
  <c r="E10" i="9"/>
  <c r="G9" i="9"/>
  <c r="F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E46" i="8"/>
  <c r="G45" i="8"/>
  <c r="E45" i="8"/>
  <c r="G40" i="8"/>
  <c r="E40" i="8"/>
  <c r="G39" i="8"/>
  <c r="E39" i="8"/>
  <c r="G34" i="8"/>
  <c r="E34" i="8"/>
  <c r="G33" i="8"/>
  <c r="E33" i="8"/>
  <c r="G28" i="8"/>
  <c r="E28" i="8"/>
  <c r="G27" i="8"/>
  <c r="E27" i="8"/>
  <c r="G22" i="8"/>
  <c r="E22" i="8"/>
  <c r="G21" i="8"/>
  <c r="E21" i="8"/>
  <c r="G16" i="8"/>
  <c r="E16" i="8"/>
  <c r="G15" i="8"/>
  <c r="F15" i="8"/>
  <c r="E15" i="8"/>
  <c r="G10" i="8"/>
  <c r="E10" i="8"/>
  <c r="G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E63" i="7"/>
  <c r="G58" i="7"/>
  <c r="E58" i="7"/>
  <c r="G57" i="7"/>
  <c r="F57" i="7"/>
  <c r="E57" i="7"/>
  <c r="G52" i="7"/>
  <c r="E52" i="7"/>
  <c r="G51" i="7"/>
  <c r="E51" i="7"/>
  <c r="G46" i="7"/>
  <c r="E46" i="7"/>
  <c r="G45" i="7"/>
  <c r="E45" i="7"/>
  <c r="G40" i="7"/>
  <c r="E40" i="7"/>
  <c r="G39" i="7"/>
  <c r="E39" i="7"/>
  <c r="G34" i="7"/>
  <c r="E34" i="7"/>
  <c r="G33" i="7"/>
  <c r="E33" i="7"/>
  <c r="G28" i="7"/>
  <c r="E28" i="7"/>
  <c r="G27" i="7"/>
  <c r="E27" i="7"/>
  <c r="G22" i="7"/>
  <c r="E22" i="7"/>
  <c r="G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9" l="1"/>
  <c r="F56" i="14" s="1"/>
  <c r="F57" i="14" s="1"/>
  <c r="F11" i="12"/>
  <c r="F22" i="12" s="1"/>
  <c r="J22" i="6"/>
  <c r="J23" i="6" s="1"/>
  <c r="J4" i="6" s="1"/>
  <c r="K27" i="6"/>
  <c r="K5" i="7" s="1"/>
  <c r="J17" i="6"/>
  <c r="J18" i="6" s="1"/>
  <c r="K17" i="6"/>
  <c r="K18" i="6" s="1"/>
  <c r="J5" i="7"/>
  <c r="K5" i="6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G161" i="19" l="1"/>
  <c r="F70" i="14"/>
  <c r="F71" i="14" s="1"/>
  <c r="F140" i="14" s="1"/>
  <c r="F21" i="14"/>
  <c r="G138" i="19"/>
  <c r="F28" i="14"/>
  <c r="F29" i="14" s="1"/>
  <c r="G171" i="19" s="1"/>
  <c r="F12" i="11"/>
  <c r="F13" i="11" s="1"/>
  <c r="G150" i="19" s="1"/>
  <c r="F10" i="7"/>
  <c r="F58" i="7"/>
  <c r="F59" i="7" s="1"/>
  <c r="G117" i="19" s="1"/>
  <c r="F49" i="14"/>
  <c r="F50" i="14" s="1"/>
  <c r="F122" i="14" s="1"/>
  <c r="F77" i="14"/>
  <c r="F78" i="14" s="1"/>
  <c r="G178" i="19" s="1"/>
  <c r="F63" i="14"/>
  <c r="F64" i="14" s="1"/>
  <c r="F88" i="14" s="1"/>
  <c r="F56" i="11"/>
  <c r="F57" i="11" s="1"/>
  <c r="G156" i="19" s="1"/>
  <c r="F42" i="14"/>
  <c r="F43" i="14" s="1"/>
  <c r="F116" i="14" s="1"/>
  <c r="F35" i="14"/>
  <c r="F36" i="14" s="1"/>
  <c r="F110" i="14" s="1"/>
  <c r="F16" i="7"/>
  <c r="F10" i="8"/>
  <c r="F11" i="8" s="1"/>
  <c r="F28" i="8" s="1"/>
  <c r="F16" i="8"/>
  <c r="F17" i="8" s="1"/>
  <c r="G127" i="19" s="1"/>
  <c r="F34" i="11"/>
  <c r="F35" i="11" s="1"/>
  <c r="F40" i="11" s="1"/>
  <c r="F29" i="9"/>
  <c r="F51" i="9"/>
  <c r="F52" i="9" s="1"/>
  <c r="G144" i="19" s="1"/>
  <c r="F10" i="10"/>
  <c r="F11" i="10" s="1"/>
  <c r="G147" i="19" s="1"/>
  <c r="J4" i="11"/>
  <c r="F10" i="13"/>
  <c r="J4" i="13"/>
  <c r="F24" i="12"/>
  <c r="J4" i="8"/>
  <c r="J4" i="14"/>
  <c r="J4" i="15"/>
  <c r="J4" i="9"/>
  <c r="G79" i="19"/>
  <c r="J4" i="10"/>
  <c r="J4" i="5"/>
  <c r="J4" i="12"/>
  <c r="E99" i="19"/>
  <c r="J12" i="6"/>
  <c r="J13" i="6" s="1"/>
  <c r="K4" i="5"/>
  <c r="G80" i="19"/>
  <c r="K4" i="12"/>
  <c r="K4" i="10"/>
  <c r="K4" i="9"/>
  <c r="K4" i="14"/>
  <c r="K4" i="15"/>
  <c r="K4" i="13"/>
  <c r="K4" i="11"/>
  <c r="K4" i="8"/>
  <c r="K4" i="7"/>
  <c r="K4" i="6"/>
  <c r="G153" i="19"/>
  <c r="K3" i="11"/>
  <c r="K3" i="5"/>
  <c r="H70" i="19"/>
  <c r="K3" i="15"/>
  <c r="K3" i="12"/>
  <c r="K3" i="8"/>
  <c r="K3" i="7"/>
  <c r="K3" i="10"/>
  <c r="K3" i="9"/>
  <c r="K3" i="14"/>
  <c r="K3" i="13"/>
  <c r="K3" i="6"/>
  <c r="G175" i="19"/>
  <c r="F128" i="14"/>
  <c r="F87" i="14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K34" i="6"/>
  <c r="F89" i="14"/>
  <c r="J3" i="14"/>
  <c r="J3" i="12"/>
  <c r="J3" i="5"/>
  <c r="H69" i="19"/>
  <c r="J3" i="11"/>
  <c r="J3" i="15"/>
  <c r="J3" i="8"/>
  <c r="J3" i="10"/>
  <c r="J3" i="9"/>
  <c r="J3" i="13"/>
  <c r="J3" i="7"/>
  <c r="J3" i="6"/>
  <c r="F11" i="7" l="1"/>
  <c r="F28" i="7" s="1"/>
  <c r="F17" i="7"/>
  <c r="F22" i="7" s="1"/>
  <c r="F30" i="9"/>
  <c r="G141" i="19" s="1"/>
  <c r="F22" i="14"/>
  <c r="F82" i="14" s="1"/>
  <c r="G177" i="19"/>
  <c r="F90" i="14"/>
  <c r="F146" i="14"/>
  <c r="F134" i="14"/>
  <c r="F104" i="14"/>
  <c r="G163" i="19"/>
  <c r="F36" i="12"/>
  <c r="F62" i="11"/>
  <c r="F11" i="13"/>
  <c r="F166" i="19" s="1"/>
  <c r="F83" i="14"/>
  <c r="F18" i="11"/>
  <c r="F16" i="10"/>
  <c r="F57" i="9"/>
  <c r="G126" i="19"/>
  <c r="G109" i="19"/>
  <c r="F85" i="14"/>
  <c r="G173" i="19"/>
  <c r="F86" i="14"/>
  <c r="G176" i="19"/>
  <c r="F64" i="7"/>
  <c r="G174" i="19"/>
  <c r="F84" i="14"/>
  <c r="G172" i="19"/>
  <c r="F27" i="8"/>
  <c r="F22" i="8"/>
  <c r="G110" i="19"/>
  <c r="L3" i="5"/>
  <c r="H71" i="19"/>
  <c r="L3" i="15"/>
  <c r="L3" i="13"/>
  <c r="L3" i="12"/>
  <c r="L3" i="8"/>
  <c r="L3" i="7"/>
  <c r="L3" i="10"/>
  <c r="L3" i="9"/>
  <c r="L3" i="14"/>
  <c r="L3" i="11"/>
  <c r="L3" i="6"/>
  <c r="L4" i="5"/>
  <c r="G81" i="19"/>
  <c r="L4" i="12"/>
  <c r="L4" i="10"/>
  <c r="L4" i="6"/>
  <c r="L4" i="14"/>
  <c r="L4" i="15"/>
  <c r="L4" i="13"/>
  <c r="L4" i="11"/>
  <c r="L4" i="8"/>
  <c r="L4" i="7"/>
  <c r="L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E100" i="19"/>
  <c r="K12" i="6"/>
  <c r="K13" i="6" s="1"/>
  <c r="J2" i="15"/>
  <c r="J2" i="5"/>
  <c r="E59" i="19"/>
  <c r="J2" i="11"/>
  <c r="J2" i="12"/>
  <c r="J2" i="14"/>
  <c r="J2" i="13"/>
  <c r="J2" i="10"/>
  <c r="J2" i="9"/>
  <c r="J2" i="7"/>
  <c r="J2" i="6"/>
  <c r="J2" i="8"/>
  <c r="F98" i="14" l="1"/>
  <c r="F35" i="9"/>
  <c r="G170" i="19"/>
  <c r="F27" i="7"/>
  <c r="F29" i="7" s="1"/>
  <c r="F91" i="14"/>
  <c r="F97" i="14" s="1"/>
  <c r="F99" i="14" s="1"/>
  <c r="F29" i="8"/>
  <c r="F129" i="19" s="1"/>
  <c r="F23" i="13"/>
  <c r="F40" i="8"/>
  <c r="M34" i="6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K2" i="15"/>
  <c r="K2" i="5"/>
  <c r="E60" i="19"/>
  <c r="K2" i="11"/>
  <c r="K2" i="12"/>
  <c r="K2" i="14"/>
  <c r="K2" i="8"/>
  <c r="K2" i="13"/>
  <c r="K2" i="10"/>
  <c r="K2" i="9"/>
  <c r="K2" i="7"/>
  <c r="K2" i="6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F112" i="19"/>
  <c r="F40" i="7"/>
  <c r="E101" i="19"/>
  <c r="L12" i="6"/>
  <c r="L13" i="6" s="1"/>
  <c r="E102" i="19" l="1"/>
  <c r="F103" i="14"/>
  <c r="F105" i="14" s="1"/>
  <c r="F159" i="14" s="1"/>
  <c r="F127" i="14"/>
  <c r="F129" i="14" s="1"/>
  <c r="F109" i="14"/>
  <c r="F111" i="14" s="1"/>
  <c r="G182" i="19" s="1"/>
  <c r="F145" i="14"/>
  <c r="F147" i="14" s="1"/>
  <c r="F201" i="14" s="1"/>
  <c r="F139" i="14"/>
  <c r="F141" i="14" s="1"/>
  <c r="F195" i="14" s="1"/>
  <c r="F121" i="14"/>
  <c r="F123" i="14" s="1"/>
  <c r="G184" i="19" s="1"/>
  <c r="F115" i="14"/>
  <c r="F117" i="14" s="1"/>
  <c r="F171" i="14" s="1"/>
  <c r="F133" i="14"/>
  <c r="F135" i="14" s="1"/>
  <c r="G186" i="19" s="1"/>
  <c r="G179" i="19"/>
  <c r="N34" i="6"/>
  <c r="E103" i="19" s="1"/>
  <c r="F153" i="14"/>
  <c r="G180" i="19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N3" i="5"/>
  <c r="H73" i="19"/>
  <c r="N3" i="15"/>
  <c r="N3" i="10"/>
  <c r="N3" i="14"/>
  <c r="N3" i="6"/>
  <c r="N3" i="13"/>
  <c r="N3" i="11"/>
  <c r="N3" i="12"/>
  <c r="N3" i="8"/>
  <c r="N3" i="9"/>
  <c r="N3" i="7"/>
  <c r="G185" i="19"/>
  <c r="F183" i="14"/>
  <c r="M2" i="11"/>
  <c r="M2" i="5"/>
  <c r="E62" i="19"/>
  <c r="M2" i="15"/>
  <c r="M2" i="12"/>
  <c r="M2" i="14"/>
  <c r="M2" i="8"/>
  <c r="M2" i="7"/>
  <c r="M2" i="13"/>
  <c r="M2" i="10"/>
  <c r="M2" i="9"/>
  <c r="M2" i="6"/>
  <c r="N4" i="15"/>
  <c r="N4" i="5"/>
  <c r="G83" i="19"/>
  <c r="N4" i="14"/>
  <c r="N4" i="13"/>
  <c r="N4" i="11"/>
  <c r="N4" i="12"/>
  <c r="N4" i="10"/>
  <c r="N4" i="9"/>
  <c r="N4" i="8"/>
  <c r="N4" i="7"/>
  <c r="N4" i="6"/>
  <c r="N12" i="6" l="1"/>
  <c r="N13" i="6" s="1"/>
  <c r="E63" i="19" s="1"/>
  <c r="G181" i="19"/>
  <c r="F165" i="14"/>
  <c r="G183" i="19"/>
  <c r="G188" i="19"/>
  <c r="F177" i="14"/>
  <c r="G187" i="19"/>
  <c r="F189" i="14"/>
  <c r="N2" i="5"/>
  <c r="N2" i="15"/>
  <c r="N2" i="13"/>
  <c r="N2" i="12"/>
  <c r="N2" i="14"/>
  <c r="N2" i="8"/>
  <c r="N2" i="7"/>
  <c r="N2" i="10"/>
  <c r="N2" i="11"/>
  <c r="N2" i="6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N2" i="9" l="1"/>
  <c r="O2" i="5"/>
  <c r="E64" i="19"/>
  <c r="O2" i="14"/>
  <c r="O2" i="10"/>
  <c r="O2" i="9"/>
  <c r="O2" i="13"/>
  <c r="O2" i="15"/>
  <c r="O2" i="11"/>
  <c r="O2" i="12"/>
  <c r="O2" i="6"/>
  <c r="O2" i="8"/>
  <c r="O2" i="7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Q4" i="11" l="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Q2" i="5" l="1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S4" i="5" l="1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S2" i="15" l="1"/>
  <c r="S2" i="5"/>
  <c r="E68" i="19"/>
  <c r="S2" i="11"/>
  <c r="S2" i="12"/>
  <c r="S2" i="8"/>
  <c r="S2" i="7"/>
  <c r="S2" i="14"/>
  <c r="S2" i="10"/>
  <c r="S2" i="9"/>
  <c r="S2" i="13"/>
  <c r="S2" i="6"/>
  <c r="G26" i="19" l="1"/>
  <c r="F17" i="11"/>
  <c r="F46" i="7" l="1"/>
  <c r="G5" i="19"/>
  <c r="F34" i="7"/>
  <c r="G7" i="19" l="1"/>
  <c r="F21" i="7"/>
  <c r="F23" i="7" s="1"/>
  <c r="F97" i="7" s="1"/>
  <c r="F33" i="7"/>
  <c r="F35" i="7" s="1"/>
  <c r="F39" i="7" l="1"/>
  <c r="F41" i="7" s="1"/>
  <c r="F113" i="19"/>
  <c r="F91" i="7"/>
  <c r="G111" i="19"/>
  <c r="F77" i="7"/>
  <c r="F51" i="7"/>
  <c r="F114" i="19" l="1"/>
  <c r="F45" i="7"/>
  <c r="F47" i="7" s="1"/>
  <c r="G115" i="19" l="1"/>
  <c r="F52" i="7"/>
  <c r="F53" i="7" s="1"/>
  <c r="G116" i="19" l="1"/>
  <c r="F90" i="7"/>
  <c r="G13" i="19" l="1"/>
  <c r="F34" i="8"/>
  <c r="F46" i="8"/>
  <c r="F56" i="9" l="1"/>
  <c r="G20" i="19"/>
  <c r="G11" i="19" l="1"/>
  <c r="F33" i="8"/>
  <c r="F35" i="8" s="1"/>
  <c r="F21" i="8"/>
  <c r="F23" i="8" s="1"/>
  <c r="G128" i="19" l="1"/>
  <c r="F57" i="8"/>
  <c r="F78" i="8"/>
  <c r="F71" i="8"/>
  <c r="F51" i="8"/>
  <c r="F130" i="19"/>
  <c r="F39" i="8"/>
  <c r="F41" i="8" s="1"/>
  <c r="F45" i="8" l="1"/>
  <c r="F47" i="8" s="1"/>
  <c r="F131" i="19"/>
  <c r="F52" i="8" l="1"/>
  <c r="F53" i="8" s="1"/>
  <c r="G132" i="19"/>
  <c r="F77" i="8"/>
  <c r="F70" i="8" l="1"/>
  <c r="G133" i="19"/>
  <c r="G24" i="19" l="1"/>
  <c r="F15" i="10"/>
  <c r="F28" i="12" l="1"/>
  <c r="G38" i="19"/>
  <c r="G30" i="19" l="1"/>
  <c r="F61" i="11"/>
  <c r="G28" i="19"/>
  <c r="F39" i="11"/>
  <c r="F21" i="13" l="1"/>
  <c r="G16" i="19" l="1"/>
  <c r="F63" i="7"/>
  <c r="G9" i="19"/>
  <c r="F32" i="19" l="1"/>
  <c r="F15" i="13"/>
  <c r="G18" i="19"/>
  <c r="F34" i="9"/>
  <c r="G36" i="19" l="1"/>
  <c r="F16" i="12"/>
  <c r="G35" i="19"/>
  <c r="F15" i="12"/>
  <c r="F17" i="12" s="1"/>
  <c r="F29" i="12" l="1"/>
  <c r="F31" i="12" s="1"/>
  <c r="F35" i="12" s="1"/>
  <c r="F37" i="12" s="1"/>
  <c r="F16" i="13"/>
  <c r="F17" i="13" s="1"/>
  <c r="F58" i="9"/>
  <c r="F60" i="9" s="1"/>
  <c r="F98" i="7"/>
  <c r="F100" i="7" s="1"/>
  <c r="F104" i="7" s="1"/>
  <c r="F78" i="7"/>
  <c r="F80" i="7" s="1"/>
  <c r="F63" i="11"/>
  <c r="F65" i="11" s="1"/>
  <c r="F65" i="7"/>
  <c r="F67" i="7" s="1"/>
  <c r="G162" i="19"/>
  <c r="F58" i="8"/>
  <c r="F60" i="8" s="1"/>
  <c r="F36" i="9"/>
  <c r="F38" i="9" s="1"/>
  <c r="F17" i="10"/>
  <c r="F19" i="10" s="1"/>
  <c r="F41" i="11"/>
  <c r="F43" i="11" s="1"/>
  <c r="F19" i="11"/>
  <c r="F21" i="11" s="1"/>
  <c r="F72" i="7" l="1"/>
  <c r="G118" i="19"/>
  <c r="G123" i="19"/>
  <c r="F69" i="11"/>
  <c r="G157" i="19"/>
  <c r="F64" i="9"/>
  <c r="G145" i="19"/>
  <c r="F25" i="11"/>
  <c r="G151" i="19"/>
  <c r="G154" i="19"/>
  <c r="F47" i="11"/>
  <c r="F43" i="9"/>
  <c r="G142" i="19"/>
  <c r="F22" i="13"/>
  <c r="F25" i="13" s="1"/>
  <c r="F167" i="19"/>
  <c r="F84" i="7"/>
  <c r="G120" i="19"/>
  <c r="G148" i="19"/>
  <c r="F23" i="10"/>
  <c r="G134" i="19"/>
  <c r="F64" i="8"/>
  <c r="G164" i="19"/>
  <c r="G22" i="19"/>
  <c r="F41" i="16"/>
  <c r="F20" i="16"/>
  <c r="F15" i="9"/>
  <c r="F17" i="9" s="1"/>
  <c r="F19" i="16" l="1"/>
  <c r="C13" i="17" s="1"/>
  <c r="F22" i="9"/>
  <c r="F21" i="15"/>
  <c r="G168" i="19"/>
  <c r="F40" i="16"/>
  <c r="F39" i="16"/>
  <c r="G165" i="19"/>
  <c r="F23" i="9"/>
  <c r="F18" i="16"/>
  <c r="C12" i="17" s="1"/>
  <c r="F20" i="15"/>
  <c r="F21" i="9"/>
  <c r="G139" i="19"/>
  <c r="C17" i="18" l="1"/>
  <c r="C16" i="18"/>
  <c r="F24" i="9"/>
  <c r="F42" i="9" s="1"/>
  <c r="F44" i="9" s="1"/>
  <c r="F71" i="7" l="1"/>
  <c r="F73" i="7" s="1"/>
  <c r="F85" i="7" s="1"/>
  <c r="F86" i="7" s="1"/>
  <c r="F85" i="11"/>
  <c r="G140" i="19"/>
  <c r="F65" i="8"/>
  <c r="F66" i="8" s="1"/>
  <c r="F24" i="10"/>
  <c r="F25" i="10" s="1"/>
  <c r="F65" i="9"/>
  <c r="F66" i="9" s="1"/>
  <c r="F26" i="11"/>
  <c r="F27" i="11" s="1"/>
  <c r="F105" i="7"/>
  <c r="F106" i="7" s="1"/>
  <c r="F110" i="7" s="1"/>
  <c r="F48" i="11"/>
  <c r="F49" i="11" s="1"/>
  <c r="F70" i="11"/>
  <c r="F71" i="11" s="1"/>
  <c r="G143" i="19"/>
  <c r="G119" i="19" l="1"/>
  <c r="F86" i="11"/>
  <c r="G124" i="19"/>
  <c r="F36" i="16"/>
  <c r="F15" i="15"/>
  <c r="G146" i="19"/>
  <c r="F88" i="11"/>
  <c r="F15" i="16"/>
  <c r="C9" i="17" s="1"/>
  <c r="F17" i="15"/>
  <c r="G149" i="19"/>
  <c r="F16" i="16"/>
  <c r="C10" i="17" s="1"/>
  <c r="F91" i="11"/>
  <c r="F37" i="16"/>
  <c r="G158" i="19"/>
  <c r="F92" i="11"/>
  <c r="F79" i="11"/>
  <c r="G121" i="19"/>
  <c r="F92" i="7"/>
  <c r="F93" i="7" s="1"/>
  <c r="F77" i="11"/>
  <c r="G152" i="19"/>
  <c r="F87" i="11"/>
  <c r="F89" i="11"/>
  <c r="F79" i="8"/>
  <c r="F80" i="8" s="1"/>
  <c r="G135" i="19"/>
  <c r="F72" i="8"/>
  <c r="F73" i="8" s="1"/>
  <c r="G155" i="19"/>
  <c r="F78" i="11"/>
  <c r="F90" i="11"/>
  <c r="C14" i="18" l="1"/>
  <c r="C13" i="18"/>
  <c r="G137" i="19"/>
  <c r="F14" i="16"/>
  <c r="C8" i="17" s="1"/>
  <c r="F12" i="14"/>
  <c r="F13" i="15"/>
  <c r="F111" i="7"/>
  <c r="F112" i="7" s="1"/>
  <c r="F9" i="14"/>
  <c r="G122" i="19"/>
  <c r="F9" i="15"/>
  <c r="F11" i="16"/>
  <c r="C5" i="17" s="1"/>
  <c r="F12" i="15"/>
  <c r="F11" i="14"/>
  <c r="G136" i="19"/>
  <c r="F13" i="16"/>
  <c r="C7" i="17" s="1"/>
  <c r="F93" i="11"/>
  <c r="F10" i="14" l="1"/>
  <c r="F13" i="14" s="1"/>
  <c r="F10" i="15"/>
  <c r="F12" i="16"/>
  <c r="C6" i="17" s="1"/>
  <c r="G125" i="19"/>
  <c r="G160" i="19"/>
  <c r="F80" i="11"/>
  <c r="F81" i="11" s="1"/>
  <c r="E5" i="17"/>
  <c r="F5" i="17"/>
  <c r="G5" i="17" s="1"/>
  <c r="I5" i="17"/>
  <c r="H5" i="17" s="1"/>
  <c r="F7" i="17" l="1"/>
  <c r="G7" i="17" s="1"/>
  <c r="I8" i="17"/>
  <c r="H8" i="17" s="1"/>
  <c r="E8" i="17"/>
  <c r="E9" i="17"/>
  <c r="F10" i="17"/>
  <c r="G10" i="17" s="1"/>
  <c r="I9" i="17"/>
  <c r="H9" i="17" s="1"/>
  <c r="E10" i="17"/>
  <c r="I7" i="17"/>
  <c r="H7" i="17" s="1"/>
  <c r="E6" i="17"/>
  <c r="F8" i="17"/>
  <c r="G8" i="17" s="1"/>
  <c r="E7" i="17"/>
  <c r="I10" i="17"/>
  <c r="H10" i="17" s="1"/>
  <c r="F166" i="14"/>
  <c r="F167" i="14" s="1"/>
  <c r="F202" i="14"/>
  <c r="F203" i="14" s="1"/>
  <c r="F196" i="14"/>
  <c r="F197" i="14" s="1"/>
  <c r="F154" i="14"/>
  <c r="F155" i="14" s="1"/>
  <c r="F160" i="14"/>
  <c r="F161" i="14" s="1"/>
  <c r="G169" i="19"/>
  <c r="F172" i="14"/>
  <c r="F173" i="14" s="1"/>
  <c r="F184" i="14"/>
  <c r="F185" i="14" s="1"/>
  <c r="F190" i="14"/>
  <c r="F191" i="14" s="1"/>
  <c r="F178" i="14"/>
  <c r="F179" i="14" s="1"/>
  <c r="F18" i="15"/>
  <c r="F38" i="16"/>
  <c r="G159" i="19"/>
  <c r="F17" i="16"/>
  <c r="C11" i="17" s="1"/>
  <c r="F9" i="17"/>
  <c r="G9" i="17" s="1"/>
  <c r="I6" i="17"/>
  <c r="H6" i="17" s="1"/>
  <c r="F6" i="17"/>
  <c r="G6" i="17" s="1"/>
  <c r="C15" i="18" l="1"/>
  <c r="F13" i="17"/>
  <c r="G13" i="17" s="1"/>
  <c r="I13" i="17"/>
  <c r="H13" i="17" s="1"/>
  <c r="D14" i="17"/>
  <c r="E13" i="17"/>
  <c r="E12" i="17"/>
  <c r="F12" i="17"/>
  <c r="G12" i="17" s="1"/>
  <c r="I12" i="17"/>
  <c r="H12" i="17" s="1"/>
  <c r="F11" i="17"/>
  <c r="G11" i="17" s="1"/>
  <c r="F30" i="16"/>
  <c r="G192" i="19"/>
  <c r="F28" i="16"/>
  <c r="G190" i="19"/>
  <c r="G189" i="19"/>
  <c r="F27" i="16"/>
  <c r="F34" i="16"/>
  <c r="G196" i="19"/>
  <c r="G193" i="19"/>
  <c r="F31" i="16"/>
  <c r="G197" i="19"/>
  <c r="F35" i="16"/>
  <c r="G194" i="19"/>
  <c r="F32" i="16"/>
  <c r="E11" i="17"/>
  <c r="I11" i="17"/>
  <c r="H11" i="17" s="1"/>
  <c r="G195" i="19"/>
  <c r="F33" i="16"/>
  <c r="G191" i="19"/>
  <c r="F29" i="16"/>
  <c r="C7" i="18" l="1"/>
  <c r="C5" i="18"/>
  <c r="E5" i="18" s="1"/>
  <c r="C6" i="18"/>
  <c r="C8" i="18"/>
  <c r="C10" i="18"/>
  <c r="C9" i="18"/>
  <c r="C12" i="18"/>
  <c r="C11" i="18"/>
  <c r="F8" i="18" l="1"/>
  <c r="G8" i="18" s="1"/>
  <c r="F7" i="18"/>
  <c r="G7" i="18" s="1"/>
  <c r="I5" i="18"/>
  <c r="H5" i="18" s="1"/>
  <c r="F5" i="18"/>
  <c r="G5" i="18" s="1"/>
  <c r="I6" i="18"/>
  <c r="H6" i="18" s="1"/>
  <c r="E7" i="18"/>
  <c r="I8" i="18"/>
  <c r="H8" i="18" s="1"/>
  <c r="I7" i="18"/>
  <c r="H7" i="18" s="1"/>
  <c r="F6" i="18"/>
  <c r="G6" i="18" s="1"/>
  <c r="E8" i="18"/>
  <c r="E6" i="18"/>
  <c r="I10" i="18"/>
  <c r="H10" i="18" s="1"/>
  <c r="E11" i="18"/>
  <c r="F15" i="18"/>
  <c r="G15" i="18" s="1"/>
  <c r="E10" i="18"/>
  <c r="E9" i="18"/>
  <c r="I11" i="18"/>
  <c r="H11" i="18" s="1"/>
  <c r="I9" i="18"/>
  <c r="H9" i="18" s="1"/>
  <c r="F9" i="18"/>
  <c r="G9" i="18" s="1"/>
  <c r="I12" i="18"/>
  <c r="H12" i="18" s="1"/>
  <c r="F12" i="18"/>
  <c r="G12" i="18" s="1"/>
  <c r="F17" i="18"/>
  <c r="G17" i="18" s="1"/>
  <c r="E16" i="18"/>
  <c r="E17" i="18"/>
  <c r="E15" i="18"/>
  <c r="F11" i="18"/>
  <c r="G11" i="18" s="1"/>
  <c r="F10" i="18"/>
  <c r="G10" i="18" s="1"/>
  <c r="I16" i="18"/>
  <c r="H16" i="18" s="1"/>
  <c r="I15" i="18"/>
  <c r="H15" i="18" s="1"/>
  <c r="D18" i="18"/>
  <c r="E13" i="18"/>
  <c r="I13" i="18"/>
  <c r="H13" i="18" s="1"/>
  <c r="E14" i="18"/>
  <c r="I17" i="18"/>
  <c r="H17" i="18" s="1"/>
  <c r="F13" i="18"/>
  <c r="G13" i="18" s="1"/>
  <c r="F16" i="18"/>
  <c r="G16" i="18" s="1"/>
  <c r="I14" i="18"/>
  <c r="H14" i="18" s="1"/>
  <c r="E12" i="18"/>
  <c r="F14" i="18"/>
  <c r="G14" i="18" s="1"/>
</calcChain>
</file>

<file path=xl/sharedStrings.xml><?xml version="1.0" encoding="utf-8"?>
<sst xmlns="http://schemas.openxmlformats.org/spreadsheetml/2006/main" count="992" uniqueCount="372">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</sst>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  <numFmt numFmtId="178" formatCode="#,##0.000_);\(#,##0.000\);&quot;-  &quot;;&quot; &quot;@&quot; &quot;"/>
  </numFmts>
  <fonts count="52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6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</cellStyleXfs>
  <cellXfs count="121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  <xf numFmtId="165" fontId="15" fillId="0" borderId="0" xfId="20" applyFont="1">
      <alignment vertical="top"/>
    </xf>
    <xf numFmtId="165" fontId="14" fillId="0" borderId="0" xfId="19" applyFont="1" applyFill="1">
      <alignment vertical="top"/>
    </xf>
    <xf numFmtId="165" fontId="8" fillId="0" borderId="0" xfId="19" applyFont="1" applyFill="1">
      <alignment vertical="top"/>
    </xf>
    <xf numFmtId="165" fontId="8" fillId="0" borderId="0" xfId="20" applyFont="1" applyFill="1">
      <alignment vertical="top"/>
    </xf>
    <xf numFmtId="165" fontId="49" fillId="0" borderId="0" xfId="20" applyFont="1">
      <alignment vertical="top"/>
    </xf>
    <xf numFmtId="176" fontId="9" fillId="0" borderId="0" xfId="20" applyNumberFormat="1" applyFont="1" applyFill="1">
      <alignment vertical="top"/>
    </xf>
    <xf numFmtId="178" fontId="9" fillId="0" borderId="0" xfId="20" applyNumberFormat="1" applyFont="1" applyFill="1">
      <alignment vertical="top"/>
    </xf>
    <xf numFmtId="165" fontId="47" fillId="0" borderId="0" xfId="20" applyFont="1" applyFill="1">
      <alignment vertical="top"/>
    </xf>
    <xf numFmtId="165" fontId="44" fillId="0" borderId="0" xfId="20" applyFont="1" applyFill="1">
      <alignment vertical="top"/>
    </xf>
    <xf numFmtId="165" fontId="45" fillId="0" borderId="0" xfId="20" applyFont="1" applyFill="1">
      <alignment vertical="top"/>
    </xf>
    <xf numFmtId="165" fontId="50" fillId="0" borderId="0" xfId="20" applyFont="1" applyFill="1">
      <alignment vertical="top"/>
    </xf>
    <xf numFmtId="165" fontId="46" fillId="0" borderId="0" xfId="20" applyFont="1" applyFill="1">
      <alignment vertical="top"/>
    </xf>
    <xf numFmtId="165" fontId="48" fillId="0" borderId="0" xfId="20" applyFont="1" applyFill="1">
      <alignment vertical="top"/>
    </xf>
    <xf numFmtId="165" fontId="15" fillId="0" borderId="0" xfId="20" applyFont="1" applyFill="1">
      <alignment vertical="top"/>
    </xf>
    <xf numFmtId="165" fontId="51" fillId="0" borderId="0" xfId="20" applyFont="1">
      <alignment vertical="top"/>
    </xf>
    <xf numFmtId="175" fontId="11" fillId="5" borderId="0" xfId="0" applyNumberFormat="1" applyFont="1" applyFill="1">
      <alignment vertical="top"/>
    </xf>
  </cellXfs>
  <cellStyles count="46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er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84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numFmt numFmtId="19" formatCode="dd/mm/yyyy"/>
    </dxf>
  </dxfs>
  <tableStyles count="1" defaultTableStyle="TableStyleMedium2" defaultPivotStyle="PivotStyleLight16">
    <tableStyle name="Invisible" pivot="0" table="0" count="0" xr9:uid="{03889314-F5D7-4863-A3CA-F1423140F51E}"/>
  </tableStyles>
  <colors>
    <mruColors>
      <color rgb="FFFFFFCC"/>
      <color rgb="FF0071CE"/>
      <color rgb="FF46D9E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472.38795616390502</c:v>
                </c:pt>
                <c:pt idx="2">
                  <c:v>521.60468477117854</c:v>
                </c:pt>
                <c:pt idx="3">
                  <c:v>521.60468477117854</c:v>
                </c:pt>
                <c:pt idx="4">
                  <c:v>537.28412519744541</c:v>
                </c:pt>
                <c:pt idx="5">
                  <c:v>537.28412519744541</c:v>
                </c:pt>
                <c:pt idx="6">
                  <c:v>569.55307433066889</c:v>
                </c:pt>
                <c:pt idx="7">
                  <c:v>577.13868860756202</c:v>
                </c:pt>
                <c:pt idx="8">
                  <c:v>577.13868860756202</c:v>
                </c:pt>
                <c:pt idx="9">
                  <c:v>558.41118449859823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472.38795616390502</c:v>
                </c:pt>
                <c:pt idx="10">
                  <c:v>558.41118449859823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83.983823522995124</c:v>
                </c:pt>
                <c:pt idx="2">
                  <c:v>0</c:v>
                </c:pt>
                <c:pt idx="3">
                  <c:v>30.346119591613522</c:v>
                </c:pt>
                <c:pt idx="4">
                  <c:v>0</c:v>
                </c:pt>
                <c:pt idx="5">
                  <c:v>32.268949133223515</c:v>
                </c:pt>
                <c:pt idx="6">
                  <c:v>13.801390816220662</c:v>
                </c:pt>
                <c:pt idx="7">
                  <c:v>0</c:v>
                </c:pt>
                <c:pt idx="8">
                  <c:v>3.1034868761533616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34.7670949157216</c:v>
                </c:pt>
                <c:pt idx="3">
                  <c:v>0</c:v>
                </c:pt>
                <c:pt idx="4">
                  <c:v>14.666679165346604</c:v>
                </c:pt>
                <c:pt idx="5">
                  <c:v>0</c:v>
                </c:pt>
                <c:pt idx="6">
                  <c:v>0</c:v>
                </c:pt>
                <c:pt idx="7">
                  <c:v>6.2157765393274662</c:v>
                </c:pt>
                <c:pt idx="8">
                  <c:v>0</c:v>
                </c:pt>
                <c:pt idx="9">
                  <c:v>21.830990985117182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472.38795616390502</c:v>
                </c:pt>
                <c:pt idx="2">
                  <c:v>486.97300092760025</c:v>
                </c:pt>
                <c:pt idx="3">
                  <c:v>493.2757750866005</c:v>
                </c:pt>
                <c:pt idx="4">
                  <c:v>498.76873552712738</c:v>
                </c:pt>
                <c:pt idx="5">
                  <c:v>502.88756331154957</c:v>
                </c:pt>
                <c:pt idx="6">
                  <c:v>506.36814838592795</c:v>
                </c:pt>
                <c:pt idx="7">
                  <c:v>509.38606403968299</c:v>
                </c:pt>
                <c:pt idx="8">
                  <c:v>517.49404167300793</c:v>
                </c:pt>
                <c:pt idx="9">
                  <c:v>537.28412519744552</c:v>
                </c:pt>
                <c:pt idx="10">
                  <c:v>569.55307433066901</c:v>
                </c:pt>
                <c:pt idx="11">
                  <c:v>577.13868860756213</c:v>
                </c:pt>
                <c:pt idx="12">
                  <c:v>577.13868860756213</c:v>
                </c:pt>
                <c:pt idx="13">
                  <c:v>558.41118449859835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472.38795616390502</c:v>
                </c:pt>
                <c:pt idx="14">
                  <c:v>558.41118449859835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14.585044763695262</c:v>
                </c:pt>
                <c:pt idx="2">
                  <c:v>6.3027741590002275</c:v>
                </c:pt>
                <c:pt idx="3">
                  <c:v>5.4929604405268506</c:v>
                </c:pt>
                <c:pt idx="4">
                  <c:v>4.1188277844221775</c:v>
                </c:pt>
                <c:pt idx="5">
                  <c:v>3.4805850743784061</c:v>
                </c:pt>
                <c:pt idx="6">
                  <c:v>3.0179156537550567</c:v>
                </c:pt>
                <c:pt idx="7">
                  <c:v>8.1079776333249001</c:v>
                </c:pt>
                <c:pt idx="8">
                  <c:v>19.790083524437559</c:v>
                </c:pt>
                <c:pt idx="9">
                  <c:v>32.268949133223515</c:v>
                </c:pt>
                <c:pt idx="10">
                  <c:v>13.801390816220662</c:v>
                </c:pt>
                <c:pt idx="11">
                  <c:v>0</c:v>
                </c:pt>
                <c:pt idx="12">
                  <c:v>3.1034868761533616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6.2157765393274662</c:v>
                </c:pt>
                <c:pt idx="12">
                  <c:v>0</c:v>
                </c:pt>
                <c:pt idx="13">
                  <c:v>21.830990985117182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440513</xdr:colOff>
      <xdr:row>2</xdr:row>
      <xdr:rowOff>17327</xdr:rowOff>
    </xdr:from>
    <xdr:to>
      <xdr:col>16384</xdr:col>
      <xdr:colOff>74767</xdr:colOff>
      <xdr:row>41</xdr:row>
      <xdr:rowOff>78424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181919</xdr:colOff>
      <xdr:row>2</xdr:row>
      <xdr:rowOff>23200</xdr:rowOff>
    </xdr:from>
    <xdr:to>
      <xdr:col>42</xdr:col>
      <xdr:colOff>267652</xdr:colOff>
      <xdr:row>38</xdr:row>
      <xdr:rowOff>16986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0.07904</cdr:x>
      <cdr:y>0.07652</cdr:y>
    </cdr:from>
    <cdr:to>
      <cdr:x>0.59787</cdr:x>
      <cdr:y>0.82508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65BA64F-0C29-130D-CD1C-F3A2D62D4E38}"/>
            </a:ext>
          </a:extLst>
        </cdr:cNvPr>
        <cdr:cNvSpPr/>
      </cdr:nvSpPr>
      <cdr:spPr>
        <a:xfrm xmlns:a="http://schemas.openxmlformats.org/drawingml/2006/main">
          <a:off x="1359702" y="510200"/>
          <a:ext cx="8924925" cy="499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2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83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customProperty" Target="../customProperty3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" x14ac:dyDescent="0.2"/>
  <cols>
    <col min="1" max="12" width="9.33203125" customWidth="1"/>
    <col min="13" max="13" width="9.109375" hidden="1" customWidth="1"/>
    <col min="14" max="16384" width="9.10937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pageSetup paperSize="9" orientation="portrait" r:id="rId1"/>
  <customProperties>
    <customPr name="MMSheetTyp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48" activePane="bottomRight" state="frozen"/>
      <selection pane="topRight"/>
      <selection pane="bottomLeft"/>
      <selection pane="bottomRight" activeCell="F85" sqref="F85"/>
    </sheetView>
  </sheetViews>
  <sheetFormatPr defaultColWidth="0" defaultRowHeight="13" outlineLevelRow="1" x14ac:dyDescent="0.2"/>
  <cols>
    <col min="1" max="4" width="1.44140625" style="70" customWidth="1"/>
    <col min="5" max="5" width="52.109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x14ac:dyDescent="0.2">
      <c r="A9" s="69" t="s">
        <v>145</v>
      </c>
    </row>
    <row r="10" spans="1:19" outlineLevel="1" x14ac:dyDescent="0.2">
      <c r="B10" s="69" t="s">
        <v>146</v>
      </c>
    </row>
    <row r="11" spans="1:19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14.006634664877032</v>
      </c>
      <c r="G11" s="88" t="str">
        <f xml:space="preserve">  InpS!G$48</f>
        <v>£m</v>
      </c>
      <c r="M11" s="89"/>
    </row>
    <row r="12" spans="1:19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outlineLevel="1" x14ac:dyDescent="0.2">
      <c r="E13" s="70" t="s">
        <v>146</v>
      </c>
      <c r="F13" s="89">
        <f xml:space="preserve">  $F11 * $F12</f>
        <v>16.536699250512502</v>
      </c>
      <c r="G13" s="70" t="s">
        <v>29</v>
      </c>
      <c r="M13" s="89"/>
    </row>
    <row r="14" spans="1:19" outlineLevel="1" x14ac:dyDescent="0.2"/>
    <row r="15" spans="1:19" outlineLevel="1" x14ac:dyDescent="0.2"/>
    <row r="16" spans="1:19" outlineLevel="1" x14ac:dyDescent="0.2">
      <c r="B16" s="69" t="s">
        <v>147</v>
      </c>
    </row>
    <row r="17" spans="1:13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16.536699250512502</v>
      </c>
      <c r="G18" s="89" t="str">
        <f t="shared" si="0"/>
        <v>£m</v>
      </c>
      <c r="M18" s="89"/>
    </row>
    <row r="19" spans="1:13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2625.0623727053376</v>
      </c>
      <c r="G19" s="72" t="str">
        <f xml:space="preserve">  'Cost to serve'!G$17</f>
        <v>000 customers</v>
      </c>
      <c r="M19" s="73"/>
    </row>
    <row r="20" spans="1:13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outlineLevel="1" x14ac:dyDescent="0.2">
      <c r="E21" s="70" t="s">
        <v>147</v>
      </c>
      <c r="F21" s="89">
        <f xml:space="preserve">  ( $F17 - $F18 ) / $F19 * $F20</f>
        <v>-6.2995452688882612</v>
      </c>
      <c r="G21" s="70" t="s">
        <v>50</v>
      </c>
      <c r="M21" s="89"/>
    </row>
    <row r="22" spans="1:13" outlineLevel="1" x14ac:dyDescent="0.2"/>
    <row r="23" spans="1:13" outlineLevel="1" x14ac:dyDescent="0.2"/>
    <row r="24" spans="1:13" outlineLevel="1" x14ac:dyDescent="0.2">
      <c r="B24" s="69" t="s">
        <v>145</v>
      </c>
    </row>
    <row r="25" spans="1:13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-6.2995452688882612</v>
      </c>
      <c r="G25" s="89" t="str">
        <f t="shared" si="1"/>
        <v>£ / customer</v>
      </c>
      <c r="M25" s="89"/>
    </row>
    <row r="26" spans="1:13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0.83356606407476985</v>
      </c>
      <c r="G26" s="90" t="str">
        <f xml:space="preserve">  Wholesale!G$44</f>
        <v>factor</v>
      </c>
      <c r="M26" s="91"/>
    </row>
    <row r="27" spans="1:13" outlineLevel="1" x14ac:dyDescent="0.2">
      <c r="E27" s="70" t="s">
        <v>145</v>
      </c>
      <c r="F27" s="89">
        <f xml:space="preserve">  $F25 * $F26</f>
        <v>-5.2510871552480252</v>
      </c>
      <c r="G27" s="70" t="s">
        <v>50</v>
      </c>
      <c r="M27" s="89"/>
    </row>
    <row r="28" spans="1:13" outlineLevel="1" x14ac:dyDescent="0.2"/>
    <row r="31" spans="1:13" x14ac:dyDescent="0.2">
      <c r="A31" s="69" t="s">
        <v>148</v>
      </c>
    </row>
    <row r="32" spans="1:13" outlineLevel="1" x14ac:dyDescent="0.2">
      <c r="B32" s="69" t="s">
        <v>149</v>
      </c>
    </row>
    <row r="33" spans="1:13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0.96745278201202001</v>
      </c>
      <c r="G33" s="88" t="str">
        <f xml:space="preserve">  InpS!G$50</f>
        <v>£m</v>
      </c>
      <c r="M33" s="89"/>
    </row>
    <row r="34" spans="1:13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outlineLevel="1" x14ac:dyDescent="0.2">
      <c r="E35" s="70" t="s">
        <v>149</v>
      </c>
      <c r="F35" s="89">
        <f xml:space="preserve">  $F33 * $F34</f>
        <v>1.142206966768549</v>
      </c>
      <c r="G35" s="70" t="s">
        <v>29</v>
      </c>
      <c r="M35" s="89"/>
    </row>
    <row r="36" spans="1:13" outlineLevel="1" x14ac:dyDescent="0.2"/>
    <row r="37" spans="1:13" outlineLevel="1" x14ac:dyDescent="0.2"/>
    <row r="38" spans="1:13" outlineLevel="1" x14ac:dyDescent="0.2">
      <c r="B38" s="69" t="s">
        <v>150</v>
      </c>
    </row>
    <row r="39" spans="1:13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8.895676975274494</v>
      </c>
      <c r="G39" s="88" t="str">
        <f xml:space="preserve">  InpS!G$51</f>
        <v>£m</v>
      </c>
      <c r="M39" s="89"/>
    </row>
    <row r="40" spans="1:13" outlineLevel="1" x14ac:dyDescent="0.2">
      <c r="E40" s="89" t="str">
        <f t="shared" ref="E40:G40" si="2" xml:space="preserve">  E$35</f>
        <v>Tax PR19</v>
      </c>
      <c r="F40" s="89">
        <f t="shared" si="2"/>
        <v>1.142206966768549</v>
      </c>
      <c r="G40" s="89" t="str">
        <f t="shared" si="2"/>
        <v>£m</v>
      </c>
      <c r="M40" s="89"/>
    </row>
    <row r="41" spans="1:13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2625.0623727053376</v>
      </c>
      <c r="G41" s="72" t="str">
        <f xml:space="preserve">  'Cost to serve'!G$17</f>
        <v>000 customers</v>
      </c>
      <c r="M41" s="73"/>
    </row>
    <row r="42" spans="1:13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outlineLevel="1" x14ac:dyDescent="0.2">
      <c r="E43" s="70" t="s">
        <v>150</v>
      </c>
      <c r="F43" s="89">
        <f xml:space="preserve">  ( $F39 - $F40 ) / $F41 * $F42</f>
        <v>2.9536326790267351</v>
      </c>
      <c r="G43" s="70" t="s">
        <v>50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148</v>
      </c>
    </row>
    <row r="47" spans="1:13" outlineLevel="1" x14ac:dyDescent="0.2">
      <c r="E47" s="89" t="str">
        <f t="shared" ref="E47:G47" si="3" xml:space="preserve">  E$43</f>
        <v>Pre-adjustment tax</v>
      </c>
      <c r="F47" s="89">
        <f t="shared" si="3"/>
        <v>2.9536326790267351</v>
      </c>
      <c r="G47" s="89" t="str">
        <f t="shared" si="3"/>
        <v>£ / customer</v>
      </c>
      <c r="M47" s="89"/>
    </row>
    <row r="48" spans="1:13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0.83356606407476985</v>
      </c>
      <c r="G48" s="90" t="str">
        <f xml:space="preserve">  Wholesale!G$44</f>
        <v>factor</v>
      </c>
      <c r="M48" s="91"/>
    </row>
    <row r="49" spans="1:13" outlineLevel="1" x14ac:dyDescent="0.2">
      <c r="E49" s="70" t="s">
        <v>148</v>
      </c>
      <c r="F49" s="89">
        <f xml:space="preserve">  $F47 * $F48</f>
        <v>2.4620479669789335</v>
      </c>
      <c r="G49" s="70" t="s">
        <v>50</v>
      </c>
      <c r="M49" s="89"/>
    </row>
    <row r="50" spans="1:13" outlineLevel="1" x14ac:dyDescent="0.2"/>
    <row r="53" spans="1:13" collapsed="1" x14ac:dyDescent="0.2">
      <c r="A53" s="69" t="s">
        <v>151</v>
      </c>
    </row>
    <row r="54" spans="1:13" hidden="1" outlineLevel="1" x14ac:dyDescent="0.2">
      <c r="B54" s="69" t="s">
        <v>152</v>
      </c>
    </row>
    <row r="55" spans="1:13" hidden="1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1.5911642686464873</v>
      </c>
      <c r="G55" s="88" t="str">
        <f xml:space="preserve">  InpS!G$52</f>
        <v>£m</v>
      </c>
      <c r="M55" s="89"/>
    </row>
    <row r="56" spans="1:13" hidden="1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2">
      <c r="E57" s="70" t="s">
        <v>152</v>
      </c>
      <c r="F57" s="89">
        <f xml:space="preserve">  $F55 * $F56</f>
        <v>1.8785815149980316</v>
      </c>
      <c r="G57" s="70" t="s">
        <v>29</v>
      </c>
      <c r="M57" s="89"/>
    </row>
    <row r="58" spans="1:13" hidden="1" outlineLevel="1" x14ac:dyDescent="0.2"/>
    <row r="59" spans="1:13" hidden="1" outlineLevel="1" x14ac:dyDescent="0.2"/>
    <row r="60" spans="1:13" hidden="1" outlineLevel="1" x14ac:dyDescent="0.2">
      <c r="B60" s="69" t="s">
        <v>153</v>
      </c>
    </row>
    <row r="61" spans="1:13" hidden="1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hidden="1" outlineLevel="1" x14ac:dyDescent="0.2">
      <c r="E62" s="89" t="str">
        <f t="shared" ref="E62:G62" si="4" xml:space="preserve">  E$57</f>
        <v>Revenue profiling PR19</v>
      </c>
      <c r="F62" s="89">
        <f t="shared" si="4"/>
        <v>1.8785815149980316</v>
      </c>
      <c r="G62" s="89" t="str">
        <f t="shared" si="4"/>
        <v>£m</v>
      </c>
      <c r="M62" s="89"/>
    </row>
    <row r="63" spans="1:13" hidden="1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2625.0623727053376</v>
      </c>
      <c r="G63" s="72" t="str">
        <f xml:space="preserve">  'Cost to serve'!G$17</f>
        <v>000 customers</v>
      </c>
      <c r="M63" s="73"/>
    </row>
    <row r="64" spans="1:13" hidden="1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hidden="1" outlineLevel="1" x14ac:dyDescent="0.2">
      <c r="E65" s="70" t="s">
        <v>153</v>
      </c>
      <c r="F65" s="89">
        <f xml:space="preserve">  ( $F61 - $F62 ) / $F63 * $F64</f>
        <v>-0.71563309677171683</v>
      </c>
      <c r="G65" s="70" t="s">
        <v>50</v>
      </c>
      <c r="M65" s="89"/>
    </row>
    <row r="66" spans="1:13" hidden="1" outlineLevel="1" x14ac:dyDescent="0.2"/>
    <row r="67" spans="1:13" hidden="1" outlineLevel="1" x14ac:dyDescent="0.2"/>
    <row r="68" spans="1:13" hidden="1" outlineLevel="1" x14ac:dyDescent="0.2">
      <c r="B68" s="69" t="s">
        <v>151</v>
      </c>
    </row>
    <row r="69" spans="1:13" hidden="1" outlineLevel="1" x14ac:dyDescent="0.2">
      <c r="E69" s="89" t="str">
        <f t="shared" ref="E69:G69" si="5" xml:space="preserve">  E$65</f>
        <v>Pre-adjustment revenue profiling</v>
      </c>
      <c r="F69" s="89">
        <f t="shared" si="5"/>
        <v>-0.71563309677171683</v>
      </c>
      <c r="G69" s="89" t="str">
        <f t="shared" si="5"/>
        <v>£ / customer</v>
      </c>
      <c r="M69" s="89"/>
    </row>
    <row r="70" spans="1:13" hidden="1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0.83356606407476985</v>
      </c>
      <c r="G70" s="90" t="str">
        <f xml:space="preserve">  Wholesale!G$44</f>
        <v>factor</v>
      </c>
      <c r="M70" s="91"/>
    </row>
    <row r="71" spans="1:13" hidden="1" outlineLevel="1" x14ac:dyDescent="0.2">
      <c r="E71" s="70" t="s">
        <v>151</v>
      </c>
      <c r="F71" s="89">
        <f xml:space="preserve">  $F69 * $F70</f>
        <v>-0.59652746379763888</v>
      </c>
      <c r="G71" s="70" t="s">
        <v>50</v>
      </c>
      <c r="M71" s="89"/>
    </row>
    <row r="72" spans="1:13" hidden="1" outlineLevel="1" x14ac:dyDescent="0.2"/>
    <row r="75" spans="1:13" x14ac:dyDescent="0.2">
      <c r="A75" s="69" t="s">
        <v>154</v>
      </c>
    </row>
    <row r="76" spans="1:13" outlineLevel="1" x14ac:dyDescent="0.2">
      <c r="B76" s="69" t="s">
        <v>55</v>
      </c>
    </row>
    <row r="77" spans="1:13" outlineLevel="1" x14ac:dyDescent="0.2">
      <c r="E77" s="89" t="str">
        <f t="shared" ref="E77:G77" si="6" xml:space="preserve">  E$27</f>
        <v>Pension deficit repair allowance</v>
      </c>
      <c r="F77" s="89">
        <f t="shared" si="6"/>
        <v>-5.2510871552480252</v>
      </c>
      <c r="G77" s="89" t="str">
        <f t="shared" si="6"/>
        <v>£ / customer</v>
      </c>
      <c r="M77" s="89"/>
    </row>
    <row r="78" spans="1:13" outlineLevel="1" x14ac:dyDescent="0.2">
      <c r="E78" s="89" t="str">
        <f t="shared" ref="E78:G78" si="7" xml:space="preserve">  E$49</f>
        <v>Tax</v>
      </c>
      <c r="F78" s="89">
        <f t="shared" si="7"/>
        <v>2.4620479669789335</v>
      </c>
      <c r="G78" s="89" t="str">
        <f t="shared" si="7"/>
        <v>£ / customer</v>
      </c>
      <c r="M78" s="89"/>
    </row>
    <row r="79" spans="1:13" outlineLevel="1" x14ac:dyDescent="0.2">
      <c r="E79" s="89" t="str">
        <f t="shared" ref="E79:G79" si="8" xml:space="preserve">  E$71</f>
        <v>Revenue profiling</v>
      </c>
      <c r="F79" s="89">
        <f t="shared" si="8"/>
        <v>-0.59652746379763888</v>
      </c>
      <c r="G79" s="89" t="str">
        <f t="shared" si="8"/>
        <v>£ / customer</v>
      </c>
      <c r="M79" s="89"/>
    </row>
    <row r="80" spans="1:13" outlineLevel="1" x14ac:dyDescent="0.2">
      <c r="E80" s="89" t="str">
        <f t="shared" ref="E80:G80" si="9" xml:space="preserve">  E$93</f>
        <v>Other</v>
      </c>
      <c r="F80" s="89">
        <f t="shared" si="9"/>
        <v>-2.830209887260736</v>
      </c>
      <c r="G80" s="89" t="str">
        <f t="shared" si="9"/>
        <v>£ / customer</v>
      </c>
      <c r="M80" s="89"/>
    </row>
    <row r="81" spans="1:13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-6.2157765393274662</v>
      </c>
      <c r="G81" s="75" t="s">
        <v>50</v>
      </c>
      <c r="M81" s="89"/>
    </row>
    <row r="82" spans="1:13" outlineLevel="1" x14ac:dyDescent="0.2"/>
    <row r="83" spans="1:13" outlineLevel="1" x14ac:dyDescent="0.2"/>
    <row r="84" spans="1:13" outlineLevel="1" x14ac:dyDescent="0.2">
      <c r="B84" s="69" t="s">
        <v>154</v>
      </c>
    </row>
    <row r="85" spans="1:13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104.75073244365714</v>
      </c>
      <c r="G85" s="88" t="str">
        <f xml:space="preserve">  Wholesale!G$24</f>
        <v>£ / customer</v>
      </c>
      <c r="M85" s="89"/>
    </row>
    <row r="86" spans="1:13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49.216728607273524</v>
      </c>
      <c r="G86" s="88" t="str">
        <f xml:space="preserve">  Totex!G$106</f>
        <v>£ / customer</v>
      </c>
      <c r="M86" s="89"/>
    </row>
    <row r="87" spans="1:13" outlineLevel="1" x14ac:dyDescent="0.2">
      <c r="E87" s="89" t="str">
        <f t="shared" ref="E87:G87" si="10" xml:space="preserve">  E$27</f>
        <v>Pension deficit repair allowance</v>
      </c>
      <c r="F87" s="89">
        <f t="shared" si="10"/>
        <v>-5.2510871552480252</v>
      </c>
      <c r="G87" s="89" t="str">
        <f t="shared" si="10"/>
        <v>£ / customer</v>
      </c>
      <c r="M87" s="89"/>
    </row>
    <row r="88" spans="1:13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32.268949133223515</v>
      </c>
      <c r="G88" s="88" t="str">
        <f xml:space="preserve">  Wholesale!G$66</f>
        <v>£ / customer</v>
      </c>
      <c r="M88" s="89"/>
    </row>
    <row r="89" spans="1:13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15.679440426266918</v>
      </c>
      <c r="G89" s="88" t="str">
        <f xml:space="preserve">  RCV!G$66</f>
        <v>£ / customer</v>
      </c>
      <c r="M89" s="89"/>
    </row>
    <row r="90" spans="1:13" outlineLevel="1" x14ac:dyDescent="0.2">
      <c r="E90" s="89" t="str">
        <f t="shared" ref="E90:G90" si="11" xml:space="preserve">  E$49</f>
        <v>Tax</v>
      </c>
      <c r="F90" s="89">
        <f t="shared" si="11"/>
        <v>2.4620479669789335</v>
      </c>
      <c r="G90" s="89" t="str">
        <f t="shared" si="11"/>
        <v>£ / customer</v>
      </c>
      <c r="M90" s="89"/>
    </row>
    <row r="91" spans="1:13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13.801390816220662</v>
      </c>
      <c r="G91" s="88" t="str">
        <f xml:space="preserve">  'Wholesale reconciliation'!G$25</f>
        <v>£ / customer</v>
      </c>
      <c r="M91" s="89"/>
    </row>
    <row r="92" spans="1:13" outlineLevel="1" x14ac:dyDescent="0.2">
      <c r="E92" s="89" t="str">
        <f t="shared" ref="E92:G92" si="12" xml:space="preserve">  E$71</f>
        <v>Revenue profiling</v>
      </c>
      <c r="F92" s="89">
        <f t="shared" si="12"/>
        <v>-0.59652746379763888</v>
      </c>
      <c r="G92" s="89" t="str">
        <f t="shared" si="12"/>
        <v>£ / customer</v>
      </c>
      <c r="M92" s="89"/>
    </row>
    <row r="93" spans="1:13" outlineLevel="1" x14ac:dyDescent="0.2">
      <c r="E93" s="70" t="s">
        <v>154</v>
      </c>
      <c r="F93" s="89">
        <f xml:space="preserve">  $F85 - ( $F86 + $F87 + $F88 + $F89 + $F90 + $F91 + $F92 )</f>
        <v>-2.830209887260736</v>
      </c>
      <c r="G93" s="70" t="s">
        <v>50</v>
      </c>
      <c r="M93" s="89"/>
    </row>
    <row r="94" spans="1:13" outlineLevel="1" x14ac:dyDescent="0.2"/>
    <row r="97" spans="2:2" x14ac:dyDescent="0.2">
      <c r="B97" s="70" t="s">
        <v>98</v>
      </c>
    </row>
  </sheetData>
  <conditionalFormatting sqref="F2">
    <cfRule type="cellIs" dxfId="40" priority="3" stopIfTrue="1" operator="equal">
      <formula>""</formula>
    </cfRule>
  </conditionalFormatting>
  <conditionalFormatting sqref="F2:F3">
    <cfRule type="cellIs" dxfId="39" priority="1" stopIfTrue="1" operator="notEqual">
      <formula>0</formula>
    </cfRule>
  </conditionalFormatting>
  <conditionalFormatting sqref="J3:S3">
    <cfRule type="cellIs" dxfId="38" priority="9" operator="equal">
      <formula>"PPA ext."</formula>
    </cfRule>
    <cfRule type="cellIs" dxfId="37" priority="10" operator="equal">
      <formula>"Delay"</formula>
    </cfRule>
    <cfRule type="cellIs" dxfId="36" priority="11" operator="equal">
      <formula>"Fin Close"</formula>
    </cfRule>
    <cfRule type="cellIs" dxfId="35" priority="12" stopIfTrue="1" operator="equal">
      <formula>"Construction"</formula>
    </cfRule>
    <cfRule type="cellIs" dxfId="34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37" sqref="F37"/>
    </sheetView>
  </sheetViews>
  <sheetFormatPr defaultColWidth="0" defaultRowHeight="13" x14ac:dyDescent="0.2"/>
  <cols>
    <col min="1" max="4" width="1.44140625" style="70" customWidth="1"/>
    <col min="5" max="5" width="42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1979.633620276785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420.73263879322514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2400.3662590700101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2248.4354366091711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376.62693609616639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2625.0623727053376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59.566750491040942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xml:space="preserve">  F$11</f>
        <v>2400.3662590700101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24.815692299440705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73.289586730670408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2625.0623727053376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27.919179175594067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xml:space="preserve">  F$31</f>
        <v>27.919179175594067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xml:space="preserve">  F$24</f>
        <v>24.815692299440705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3.1034868761533616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F2">
    <cfRule type="cellIs" dxfId="33" priority="3" stopIfTrue="1" operator="equal">
      <formula>""</formula>
    </cfRule>
  </conditionalFormatting>
  <conditionalFormatting sqref="F2:F3">
    <cfRule type="cellIs" dxfId="32" priority="1" stopIfTrue="1" operator="notEqual">
      <formula>0</formula>
    </cfRule>
  </conditionalFormatting>
  <conditionalFormatting sqref="J3:S3">
    <cfRule type="cellIs" dxfId="31" priority="9" operator="equal">
      <formula>"PPA ext."</formula>
    </cfRule>
    <cfRule type="cellIs" dxfId="30" priority="10" operator="equal">
      <formula>"Delay"</formula>
    </cfRule>
    <cfRule type="cellIs" dxfId="29" priority="11" operator="equal">
      <formula>"Fin Close"</formula>
    </cfRule>
    <cfRule type="cellIs" dxfId="28" priority="12" stopIfTrue="1" operator="equal">
      <formula>"Construction"</formula>
    </cfRule>
    <cfRule type="cellIs" dxfId="27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25" sqref="F25"/>
    </sheetView>
  </sheetViews>
  <sheetFormatPr defaultColWidth="0" defaultRowHeight="13" x14ac:dyDescent="0.2"/>
  <cols>
    <col min="1" max="4" width="1.44140625" style="70" customWidth="1"/>
    <col min="5" max="5" width="45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0.80203698186810568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2400.3662590700101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3.3413108471989781E-4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0.84244629590802944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2625.0623727053376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3.2092429675864077E-4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1653.0129089041025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xml:space="preserve">  F$17</f>
        <v>3.2092429675864077E-4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3.3413108471989781E-4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-21.830990985117182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26" priority="3" stopIfTrue="1" operator="equal">
      <formula>""</formula>
    </cfRule>
  </conditionalFormatting>
  <conditionalFormatting sqref="F2:F3">
    <cfRule type="cellIs" dxfId="25" priority="1" stopIfTrue="1" operator="notEqual">
      <formula>0</formula>
    </cfRule>
  </conditionalFormatting>
  <conditionalFormatting sqref="J3:S3">
    <cfRule type="cellIs" dxfId="24" priority="9" operator="equal">
      <formula>"PPA ext."</formula>
    </cfRule>
    <cfRule type="cellIs" dxfId="23" priority="10" operator="equal">
      <formula>"Delay"</formula>
    </cfRule>
    <cfRule type="cellIs" dxfId="22" priority="11" operator="equal">
      <formula>"Fin Close"</formula>
    </cfRule>
    <cfRule type="cellIs" dxfId="21" priority="12" stopIfTrue="1" operator="equal">
      <formula>"Construction"</formula>
    </cfRule>
    <cfRule type="cellIs" dxfId="20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activeCell="F54" sqref="F48:F54"/>
      <selection pane="topRight" activeCell="F54" sqref="F48:F54"/>
      <selection pane="bottomLeft" activeCell="F54" sqref="F48:F54"/>
      <selection pane="bottomRight" activeCell="J6" sqref="J6"/>
    </sheetView>
  </sheetViews>
  <sheetFormatPr defaultColWidth="0" defaultRowHeight="13" outlineLevelRow="1" x14ac:dyDescent="0.2"/>
  <cols>
    <col min="1" max="4" width="1.44140625" style="70" customWidth="1"/>
    <col min="5" max="5" width="46.33203125" style="70" bestFit="1" customWidth="1"/>
    <col min="6" max="6" width="18.6640625" style="70" bestFit="1" customWidth="1"/>
    <col min="7" max="7" width="14.664062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83.983823522995124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-34.7670949157216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30.346119591613522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-14.666679165346604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64.896169033540446</v>
      </c>
      <c r="G13" s="70" t="s">
        <v>50</v>
      </c>
      <c r="M13" s="89"/>
    </row>
    <row r="17" spans="1:13" x14ac:dyDescent="0.2">
      <c r="A17" s="69" t="s">
        <v>165</v>
      </c>
    </row>
    <row r="18" spans="1:13" outlineLevel="1" x14ac:dyDescent="0.2">
      <c r="B18" s="69" t="s">
        <v>166</v>
      </c>
    </row>
    <row r="19" spans="1:13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4621.0774468957752</v>
      </c>
      <c r="G19" s="88" t="str">
        <f xml:space="preserve">  InpS!G$72</f>
        <v>£m</v>
      </c>
      <c r="M19" s="89"/>
    </row>
    <row r="20" spans="1:13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3383.3283627519231</v>
      </c>
      <c r="G20" s="88" t="str">
        <f xml:space="preserve">  InpS!G$71</f>
        <v>£m</v>
      </c>
      <c r="M20" s="89"/>
    </row>
    <row r="21" spans="1:13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outlineLevel="1" x14ac:dyDescent="0.2">
      <c r="E22" s="70" t="s">
        <v>166</v>
      </c>
      <c r="F22" s="89">
        <f xml:space="preserve">  $F19 - ( $F20 * $F21 )</f>
        <v>626.60733046908854</v>
      </c>
      <c r="G22" s="70" t="s">
        <v>29</v>
      </c>
      <c r="M22" s="89"/>
    </row>
    <row r="23" spans="1:13" outlineLevel="1" x14ac:dyDescent="0.2"/>
    <row r="24" spans="1:13" outlineLevel="1" x14ac:dyDescent="0.2"/>
    <row r="25" spans="1:13" outlineLevel="1" x14ac:dyDescent="0.2">
      <c r="B25" s="69" t="s">
        <v>167</v>
      </c>
    </row>
    <row r="26" spans="1:13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510.04781067676237</v>
      </c>
      <c r="G26" s="88" t="str">
        <f xml:space="preserve">  InpS!G$74</f>
        <v>£m</v>
      </c>
      <c r="M26" s="89"/>
    </row>
    <row r="27" spans="1:13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202.65905094388188</v>
      </c>
      <c r="G27" s="88" t="str">
        <f xml:space="preserve">  InpS!G$73</f>
        <v>£m</v>
      </c>
      <c r="M27" s="89"/>
    </row>
    <row r="28" spans="1:13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outlineLevel="1" x14ac:dyDescent="0.2">
      <c r="E29" s="70" t="s">
        <v>167</v>
      </c>
      <c r="F29" s="89">
        <f xml:space="preserve">  $F26 - ( $F27 * $F28 )</f>
        <v>270.7817873930253</v>
      </c>
      <c r="G29" s="70" t="s">
        <v>29</v>
      </c>
      <c r="M29" s="89"/>
    </row>
    <row r="30" spans="1:13" outlineLevel="1" x14ac:dyDescent="0.2"/>
    <row r="31" spans="1:13" outlineLevel="1" x14ac:dyDescent="0.2"/>
    <row r="32" spans="1:13" outlineLevel="1" x14ac:dyDescent="0.2">
      <c r="B32" s="69" t="s">
        <v>168</v>
      </c>
    </row>
    <row r="33" spans="1:13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736.79674057391276</v>
      </c>
      <c r="G33" s="88" t="str">
        <f xml:space="preserve">  InpS!G$76</f>
        <v>£m</v>
      </c>
      <c r="M33" s="89"/>
    </row>
    <row r="34" spans="1:13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424.18457053875591</v>
      </c>
      <c r="G34" s="88" t="str">
        <f xml:space="preserve">  InpS!G$75</f>
        <v>£m</v>
      </c>
      <c r="M34" s="89"/>
    </row>
    <row r="35" spans="1:13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outlineLevel="1" x14ac:dyDescent="0.2">
      <c r="E36" s="70" t="s">
        <v>168</v>
      </c>
      <c r="F36" s="89">
        <f xml:space="preserve">  $F33 - ( $F34 * $F35 )</f>
        <v>235.99031293879915</v>
      </c>
      <c r="G36" s="70" t="s">
        <v>29</v>
      </c>
      <c r="M36" s="89"/>
    </row>
    <row r="37" spans="1:13" outlineLevel="1" x14ac:dyDescent="0.2"/>
    <row r="38" spans="1:13" outlineLevel="1" x14ac:dyDescent="0.2"/>
    <row r="39" spans="1:13" outlineLevel="1" x14ac:dyDescent="0.2">
      <c r="B39" s="69" t="s">
        <v>169</v>
      </c>
    </row>
    <row r="40" spans="1:13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231.92143255440783</v>
      </c>
      <c r="G40" s="88" t="str">
        <f xml:space="preserve">  InpS!G$78</f>
        <v>£m</v>
      </c>
      <c r="M40" s="89"/>
    </row>
    <row r="41" spans="1:13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46.557253534674892</v>
      </c>
      <c r="G41" s="88" t="str">
        <f xml:space="preserve">  InpS!G$77</f>
        <v>£m</v>
      </c>
      <c r="M41" s="89"/>
    </row>
    <row r="42" spans="1:13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outlineLevel="1" x14ac:dyDescent="0.2">
      <c r="E43" s="70" t="s">
        <v>169</v>
      </c>
      <c r="F43" s="89">
        <f xml:space="preserve">  $F40 - ( $F41 * $F42 )</f>
        <v>176.95438886022305</v>
      </c>
      <c r="G43" s="70" t="s">
        <v>29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170</v>
      </c>
    </row>
    <row r="47" spans="1:13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149.53400262134264</v>
      </c>
      <c r="G47" s="88" t="str">
        <f xml:space="preserve">  InpS!G$80</f>
        <v>£m</v>
      </c>
      <c r="M47" s="89"/>
    </row>
    <row r="48" spans="1:13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outlineLevel="1" x14ac:dyDescent="0.2">
      <c r="E50" s="70" t="s">
        <v>170</v>
      </c>
      <c r="F50" s="89">
        <f xml:space="preserve">  $F47 - ( $F48 * $F49 )</f>
        <v>149.53400262134264</v>
      </c>
      <c r="G50" s="70" t="s">
        <v>29</v>
      </c>
      <c r="M50" s="89"/>
    </row>
    <row r="51" spans="1:13" outlineLevel="1" x14ac:dyDescent="0.2"/>
    <row r="52" spans="1:13" outlineLevel="1" x14ac:dyDescent="0.2"/>
    <row r="53" spans="1:13" outlineLevel="1" x14ac:dyDescent="0.2">
      <c r="B53" s="69" t="s">
        <v>171</v>
      </c>
    </row>
    <row r="54" spans="1:13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950.69587210034842</v>
      </c>
      <c r="G54" s="88" t="str">
        <f xml:space="preserve">  InpS!G$82</f>
        <v>£m</v>
      </c>
      <c r="M54" s="89"/>
    </row>
    <row r="55" spans="1:13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695.42272185895331</v>
      </c>
      <c r="G55" s="88" t="str">
        <f xml:space="preserve">  InpS!G$81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171</v>
      </c>
      <c r="F57" s="89">
        <f xml:space="preserve">  $F54 - ( $F55 * $F56 )</f>
        <v>129.65665186626518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172</v>
      </c>
    </row>
    <row r="61" spans="1:13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48.761246477182816</v>
      </c>
      <c r="G61" s="88" t="str">
        <f xml:space="preserve">  InpS!G$84</f>
        <v>£m</v>
      </c>
      <c r="M61" s="89"/>
    </row>
    <row r="62" spans="1:13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131.24972573946249</v>
      </c>
      <c r="G62" s="88" t="str">
        <f xml:space="preserve">  InpS!G$83</f>
        <v>£m</v>
      </c>
      <c r="M62" s="89"/>
    </row>
    <row r="63" spans="1:13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outlineLevel="1" x14ac:dyDescent="0.2">
      <c r="E64" s="70" t="s">
        <v>172</v>
      </c>
      <c r="F64" s="89">
        <f xml:space="preserve">  $F61 - ( $F62 * $F63 )</f>
        <v>-106.19654982404566</v>
      </c>
      <c r="G64" s="70" t="s">
        <v>29</v>
      </c>
      <c r="M64" s="89"/>
    </row>
    <row r="65" spans="1:13" outlineLevel="1" x14ac:dyDescent="0.2"/>
    <row r="66" spans="1:13" outlineLevel="1" x14ac:dyDescent="0.2"/>
    <row r="67" spans="1:13" outlineLevel="1" x14ac:dyDescent="0.2">
      <c r="B67" s="69" t="s">
        <v>173</v>
      </c>
    </row>
    <row r="68" spans="1:13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476.68623708198032</v>
      </c>
      <c r="G68" s="88" t="str">
        <f xml:space="preserve">  InpS!G$86</f>
        <v>£m</v>
      </c>
      <c r="M68" s="89"/>
    </row>
    <row r="69" spans="1:13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18.762959090883722</v>
      </c>
      <c r="G69" s="88" t="str">
        <f xml:space="preserve">  InpS!G$85</f>
        <v>£m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outlineLevel="1" x14ac:dyDescent="0.2">
      <c r="E71" s="70" t="s">
        <v>173</v>
      </c>
      <c r="F71" s="89">
        <f xml:space="preserve">  $F68 - ( $F69 * $F70 )</f>
        <v>454.53406284746103</v>
      </c>
      <c r="G71" s="70" t="s">
        <v>29</v>
      </c>
      <c r="M71" s="89"/>
    </row>
    <row r="72" spans="1:13" outlineLevel="1" x14ac:dyDescent="0.2"/>
    <row r="73" spans="1:13" outlineLevel="1" x14ac:dyDescent="0.2"/>
    <row r="74" spans="1:13" outlineLevel="1" x14ac:dyDescent="0.2">
      <c r="B74" s="69" t="s">
        <v>174</v>
      </c>
    </row>
    <row r="75" spans="1:13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915.02727688446305</v>
      </c>
      <c r="G75" s="88" t="str">
        <f xml:space="preserve">  InpS!G$88</f>
        <v>£m</v>
      </c>
      <c r="M75" s="89"/>
    </row>
    <row r="76" spans="1:13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54.885303037832216</v>
      </c>
      <c r="G76" s="88" t="str">
        <f xml:space="preserve">  InpS!G$87</f>
        <v>£m</v>
      </c>
      <c r="M76" s="89"/>
    </row>
    <row r="77" spans="1:13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outlineLevel="1" x14ac:dyDescent="0.2">
      <c r="E78" s="70" t="s">
        <v>174</v>
      </c>
      <c r="F78" s="89">
        <f xml:space="preserve">  $F75 - ( $F76 * $F77 )</f>
        <v>850.22786065596529</v>
      </c>
      <c r="G78" s="70" t="s">
        <v>29</v>
      </c>
      <c r="M78" s="89"/>
    </row>
    <row r="79" spans="1:13" outlineLevel="1" x14ac:dyDescent="0.2"/>
    <row r="80" spans="1:13" outlineLevel="1" x14ac:dyDescent="0.2"/>
    <row r="81" spans="1:13" outlineLevel="1" x14ac:dyDescent="0.2">
      <c r="B81" s="69" t="s">
        <v>175</v>
      </c>
    </row>
    <row r="82" spans="1:13" outlineLevel="1" x14ac:dyDescent="0.2">
      <c r="E82" s="89" t="str">
        <f t="shared" ref="E82:G82" si="0" xml:space="preserve">  E$22</f>
        <v>Base expenditure delta</v>
      </c>
      <c r="F82" s="89">
        <f xml:space="preserve">  F$22</f>
        <v>626.60733046908854</v>
      </c>
      <c r="G82" s="89" t="str">
        <f t="shared" si="0"/>
        <v>£m</v>
      </c>
      <c r="M82" s="89"/>
    </row>
    <row r="83" spans="1:13" outlineLevel="1" x14ac:dyDescent="0.2">
      <c r="E83" s="89" t="str">
        <f t="shared" ref="E83:G83" si="1" xml:space="preserve">  E$29</f>
        <v>Storm overflows delta</v>
      </c>
      <c r="F83" s="89">
        <f t="shared" si="1"/>
        <v>270.7817873930253</v>
      </c>
      <c r="G83" s="89" t="str">
        <f t="shared" si="1"/>
        <v>£m</v>
      </c>
      <c r="M83" s="89"/>
    </row>
    <row r="84" spans="1:13" outlineLevel="1" x14ac:dyDescent="0.2">
      <c r="E84" s="89" t="str">
        <f t="shared" ref="E84:G84" si="2" xml:space="preserve">  E$36</f>
        <v>Nutrient removal delta</v>
      </c>
      <c r="F84" s="89">
        <f t="shared" si="2"/>
        <v>235.99031293879915</v>
      </c>
      <c r="G84" s="89" t="str">
        <f t="shared" si="2"/>
        <v>£m</v>
      </c>
      <c r="M84" s="89"/>
    </row>
    <row r="85" spans="1:13" outlineLevel="1" x14ac:dyDescent="0.2">
      <c r="E85" s="89" t="str">
        <f t="shared" ref="E85:G85" si="3" xml:space="preserve">  E$43</f>
        <v>Resilience delta</v>
      </c>
      <c r="F85" s="89">
        <f t="shared" si="3"/>
        <v>176.95438886022305</v>
      </c>
      <c r="G85" s="89" t="str">
        <f t="shared" si="3"/>
        <v>£m</v>
      </c>
      <c r="M85" s="89"/>
    </row>
    <row r="86" spans="1:13" outlineLevel="1" x14ac:dyDescent="0.2">
      <c r="E86" s="89" t="str">
        <f t="shared" ref="E86:G86" si="4" xml:space="preserve">  E$50</f>
        <v>Net zero delta</v>
      </c>
      <c r="F86" s="89">
        <f t="shared" si="4"/>
        <v>149.53400262134264</v>
      </c>
      <c r="G86" s="89" t="str">
        <f t="shared" si="4"/>
        <v>£m</v>
      </c>
      <c r="M86" s="89"/>
    </row>
    <row r="87" spans="1:13" outlineLevel="1" x14ac:dyDescent="0.2">
      <c r="E87" s="89" t="str">
        <f t="shared" ref="E87:G87" si="5" xml:space="preserve">  E$57</f>
        <v>WRMP delta</v>
      </c>
      <c r="F87" s="89">
        <f t="shared" si="5"/>
        <v>129.65665186626518</v>
      </c>
      <c r="G87" s="89" t="str">
        <f t="shared" si="5"/>
        <v>£m</v>
      </c>
      <c r="M87" s="89"/>
    </row>
    <row r="88" spans="1:13" outlineLevel="1" x14ac:dyDescent="0.2">
      <c r="E88" s="89" t="str">
        <f t="shared" ref="E88:G88" si="6" xml:space="preserve">  E$64</f>
        <v>Environmental delta</v>
      </c>
      <c r="F88" s="89">
        <f t="shared" si="6"/>
        <v>-106.19654982404566</v>
      </c>
      <c r="G88" s="89" t="str">
        <f t="shared" si="6"/>
        <v>£m</v>
      </c>
      <c r="M88" s="89"/>
    </row>
    <row r="89" spans="1:13" outlineLevel="1" x14ac:dyDescent="0.2">
      <c r="E89" s="89" t="str">
        <f t="shared" ref="E89:G89" si="7" xml:space="preserve">  E$71</f>
        <v>Other environmental delta</v>
      </c>
      <c r="F89" s="89">
        <f t="shared" si="7"/>
        <v>454.53406284746103</v>
      </c>
      <c r="G89" s="89" t="str">
        <f t="shared" si="7"/>
        <v>£m</v>
      </c>
      <c r="M89" s="89"/>
    </row>
    <row r="90" spans="1:13" outlineLevel="1" x14ac:dyDescent="0.2">
      <c r="E90" s="89" t="str">
        <f t="shared" ref="E90:G90" si="8" xml:space="preserve">  E$78</f>
        <v>Other enhancement costs delta</v>
      </c>
      <c r="F90" s="89">
        <f t="shared" si="8"/>
        <v>850.22786065596529</v>
      </c>
      <c r="G90" s="89" t="str">
        <f t="shared" si="8"/>
        <v>£m</v>
      </c>
      <c r="M90" s="89"/>
    </row>
    <row r="91" spans="1:13" outlineLevel="1" x14ac:dyDescent="0.2">
      <c r="E91" s="70" t="s">
        <v>175</v>
      </c>
      <c r="F91" s="89">
        <f xml:space="preserve">  $F82 + $F83 + $F84 + $F85 + $F86 + $F87 + $F88 + $F89 + $F90</f>
        <v>2788.0898478281247</v>
      </c>
      <c r="G91" s="70" t="s">
        <v>29</v>
      </c>
      <c r="M91" s="89"/>
    </row>
    <row r="92" spans="1:13" outlineLevel="1" x14ac:dyDescent="0.2"/>
    <row r="95" spans="1:13" x14ac:dyDescent="0.2">
      <c r="A95" s="69" t="s">
        <v>176</v>
      </c>
    </row>
    <row r="96" spans="1:13" outlineLevel="1" x14ac:dyDescent="0.2">
      <c r="B96" s="69" t="s">
        <v>177</v>
      </c>
    </row>
    <row r="97" spans="2:13" outlineLevel="1" x14ac:dyDescent="0.2">
      <c r="E97" s="89" t="str">
        <f t="shared" ref="E97:G97" si="9" xml:space="preserve">  E$91</f>
        <v>Total expenditure category delta</v>
      </c>
      <c r="F97" s="89">
        <f xml:space="preserve">  F$91</f>
        <v>2788.0898478281247</v>
      </c>
      <c r="G97" s="89" t="str">
        <f t="shared" si="9"/>
        <v>£m</v>
      </c>
      <c r="M97" s="89"/>
    </row>
    <row r="98" spans="2:13" outlineLevel="1" x14ac:dyDescent="0.2">
      <c r="E98" s="89" t="str">
        <f t="shared" ref="E98:G98" si="10" xml:space="preserve">  E$22</f>
        <v>Base expenditure delta</v>
      </c>
      <c r="F98" s="89">
        <f t="shared" si="10"/>
        <v>626.60733046908854</v>
      </c>
      <c r="G98" s="89" t="str">
        <f t="shared" si="10"/>
        <v>£m</v>
      </c>
      <c r="M98" s="89"/>
    </row>
    <row r="99" spans="2:13" outlineLevel="1" x14ac:dyDescent="0.2">
      <c r="E99" s="70" t="s">
        <v>177</v>
      </c>
      <c r="F99" s="91">
        <f xml:space="preserve">  IF( $F97 = 0, 0, $F98 / $F97 )</f>
        <v>0.22474431050247723</v>
      </c>
      <c r="G99" s="70" t="s">
        <v>115</v>
      </c>
      <c r="M99" s="91"/>
    </row>
    <row r="100" spans="2:13" outlineLevel="1" x14ac:dyDescent="0.2"/>
    <row r="101" spans="2:13" outlineLevel="1" x14ac:dyDescent="0.2"/>
    <row r="102" spans="2:13" outlineLevel="1" x14ac:dyDescent="0.2">
      <c r="B102" s="69" t="s">
        <v>178</v>
      </c>
    </row>
    <row r="103" spans="2:13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2788.0898478281247</v>
      </c>
      <c r="G103" s="89" t="str">
        <f t="shared" si="11"/>
        <v>£m</v>
      </c>
      <c r="M103" s="89"/>
    </row>
    <row r="104" spans="2:13" outlineLevel="1" x14ac:dyDescent="0.2">
      <c r="E104" s="89" t="str">
        <f t="shared" ref="E104:G104" si="12" xml:space="preserve">  E$29</f>
        <v>Storm overflows delta</v>
      </c>
      <c r="F104" s="89">
        <f t="shared" si="12"/>
        <v>270.7817873930253</v>
      </c>
      <c r="G104" s="89" t="str">
        <f t="shared" si="12"/>
        <v>£m</v>
      </c>
      <c r="M104" s="89"/>
    </row>
    <row r="105" spans="2:13" outlineLevel="1" x14ac:dyDescent="0.2">
      <c r="E105" s="70" t="s">
        <v>178</v>
      </c>
      <c r="F105" s="91">
        <f xml:space="preserve">  IF( $F103 = 0, 0, $F104 / $F103 )</f>
        <v>9.7120897163324837E-2</v>
      </c>
      <c r="G105" s="70" t="s">
        <v>115</v>
      </c>
      <c r="M105" s="91"/>
    </row>
    <row r="106" spans="2:13" outlineLevel="1" x14ac:dyDescent="0.2"/>
    <row r="107" spans="2:13" outlineLevel="1" x14ac:dyDescent="0.2"/>
    <row r="108" spans="2:13" outlineLevel="1" x14ac:dyDescent="0.2">
      <c r="B108" s="69" t="s">
        <v>179</v>
      </c>
    </row>
    <row r="109" spans="2:13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2788.0898478281247</v>
      </c>
      <c r="G109" s="89" t="str">
        <f t="shared" si="13"/>
        <v>£m</v>
      </c>
      <c r="M109" s="89"/>
    </row>
    <row r="110" spans="2:13" outlineLevel="1" x14ac:dyDescent="0.2">
      <c r="E110" s="89" t="str">
        <f t="shared" ref="E110:G110" si="14" xml:space="preserve">  E$36</f>
        <v>Nutrient removal delta</v>
      </c>
      <c r="F110" s="89">
        <f t="shared" si="14"/>
        <v>235.99031293879915</v>
      </c>
      <c r="G110" s="89" t="str">
        <f t="shared" si="14"/>
        <v>£m</v>
      </c>
      <c r="M110" s="89"/>
    </row>
    <row r="111" spans="2:13" outlineLevel="1" x14ac:dyDescent="0.2">
      <c r="E111" s="70" t="s">
        <v>179</v>
      </c>
      <c r="F111" s="91">
        <f xml:space="preserve">  IF( $F109 = 0, 0, $F110 / $F109 )</f>
        <v>8.4642291252784288E-2</v>
      </c>
      <c r="G111" s="70" t="s">
        <v>115</v>
      </c>
      <c r="M111" s="91"/>
    </row>
    <row r="112" spans="2:13" outlineLevel="1" x14ac:dyDescent="0.2"/>
    <row r="113" spans="2:13" outlineLevel="1" x14ac:dyDescent="0.2"/>
    <row r="114" spans="2:13" outlineLevel="1" x14ac:dyDescent="0.2">
      <c r="B114" s="69" t="s">
        <v>180</v>
      </c>
    </row>
    <row r="115" spans="2:13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2788.0898478281247</v>
      </c>
      <c r="G115" s="89" t="str">
        <f t="shared" si="15"/>
        <v>£m</v>
      </c>
      <c r="M115" s="89"/>
    </row>
    <row r="116" spans="2:13" outlineLevel="1" x14ac:dyDescent="0.2">
      <c r="E116" s="89" t="str">
        <f t="shared" ref="E116:G116" si="16" xml:space="preserve">  E$43</f>
        <v>Resilience delta</v>
      </c>
      <c r="F116" s="89">
        <f t="shared" si="16"/>
        <v>176.95438886022305</v>
      </c>
      <c r="G116" s="89" t="str">
        <f t="shared" si="16"/>
        <v>£m</v>
      </c>
      <c r="M116" s="89"/>
    </row>
    <row r="117" spans="2:13" outlineLevel="1" x14ac:dyDescent="0.2">
      <c r="E117" s="70" t="s">
        <v>180</v>
      </c>
      <c r="F117" s="91">
        <f xml:space="preserve">  IF( $F115 = 0, 0, $F116 / $F115 )</f>
        <v>6.3467964993333181E-2</v>
      </c>
      <c r="G117" s="70" t="s">
        <v>115</v>
      </c>
      <c r="M117" s="91"/>
    </row>
    <row r="118" spans="2:13" outlineLevel="1" x14ac:dyDescent="0.2"/>
    <row r="119" spans="2:13" outlineLevel="1" x14ac:dyDescent="0.2"/>
    <row r="120" spans="2:13" outlineLevel="1" x14ac:dyDescent="0.2">
      <c r="B120" s="69" t="s">
        <v>181</v>
      </c>
    </row>
    <row r="121" spans="2:13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2788.0898478281247</v>
      </c>
      <c r="G121" s="89" t="str">
        <f t="shared" si="17"/>
        <v>£m</v>
      </c>
      <c r="M121" s="89"/>
    </row>
    <row r="122" spans="2:13" outlineLevel="1" x14ac:dyDescent="0.2">
      <c r="E122" s="89" t="str">
        <f t="shared" ref="E122:G122" si="18" xml:space="preserve">  E$50</f>
        <v>Net zero delta</v>
      </c>
      <c r="F122" s="89">
        <f t="shared" si="18"/>
        <v>149.53400262134264</v>
      </c>
      <c r="G122" s="89" t="str">
        <f t="shared" si="18"/>
        <v>£m</v>
      </c>
      <c r="M122" s="89"/>
    </row>
    <row r="123" spans="2:13" outlineLevel="1" x14ac:dyDescent="0.2">
      <c r="E123" s="70" t="s">
        <v>181</v>
      </c>
      <c r="F123" s="91">
        <f xml:space="preserve">  IF( $F121 = 0, 0, $F122 / $F121 )</f>
        <v>5.3633136226878458E-2</v>
      </c>
      <c r="G123" s="70" t="s">
        <v>115</v>
      </c>
      <c r="M123" s="91"/>
    </row>
    <row r="124" spans="2:13" outlineLevel="1" x14ac:dyDescent="0.2"/>
    <row r="125" spans="2:13" outlineLevel="1" x14ac:dyDescent="0.2"/>
    <row r="126" spans="2:13" outlineLevel="1" x14ac:dyDescent="0.2">
      <c r="B126" s="69" t="s">
        <v>182</v>
      </c>
    </row>
    <row r="127" spans="2:13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2788.0898478281247</v>
      </c>
      <c r="G127" s="89" t="str">
        <f t="shared" si="19"/>
        <v>£m</v>
      </c>
      <c r="M127" s="89"/>
    </row>
    <row r="128" spans="2:13" outlineLevel="1" x14ac:dyDescent="0.2">
      <c r="E128" s="89" t="str">
        <f t="shared" ref="E128:G128" si="20" xml:space="preserve">  E$57</f>
        <v>WRMP delta</v>
      </c>
      <c r="F128" s="89">
        <f t="shared" si="20"/>
        <v>129.65665186626518</v>
      </c>
      <c r="G128" s="89" t="str">
        <f t="shared" si="20"/>
        <v>£m</v>
      </c>
      <c r="M128" s="89"/>
    </row>
    <row r="129" spans="2:13" outlineLevel="1" x14ac:dyDescent="0.2">
      <c r="E129" s="70" t="s">
        <v>182</v>
      </c>
      <c r="F129" s="91">
        <f xml:space="preserve">  IF( $F127 = 0, 0, $F128 / $F127 )</f>
        <v>4.6503756673145068E-2</v>
      </c>
      <c r="G129" s="70" t="s">
        <v>115</v>
      </c>
      <c r="M129" s="91"/>
    </row>
    <row r="130" spans="2:13" outlineLevel="1" x14ac:dyDescent="0.2"/>
    <row r="131" spans="2:13" outlineLevel="1" x14ac:dyDescent="0.2"/>
    <row r="132" spans="2:13" outlineLevel="1" x14ac:dyDescent="0.2">
      <c r="B132" s="69" t="s">
        <v>183</v>
      </c>
    </row>
    <row r="133" spans="2:13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2788.0898478281247</v>
      </c>
      <c r="G133" s="89" t="str">
        <f t="shared" si="21"/>
        <v>£m</v>
      </c>
      <c r="M133" s="89"/>
    </row>
    <row r="134" spans="2:13" outlineLevel="1" x14ac:dyDescent="0.2">
      <c r="E134" s="89" t="str">
        <f t="shared" ref="E134:G134" si="22" xml:space="preserve">  E$64</f>
        <v>Environmental delta</v>
      </c>
      <c r="F134" s="89">
        <f t="shared" si="22"/>
        <v>-106.19654982404566</v>
      </c>
      <c r="G134" s="89" t="str">
        <f t="shared" si="22"/>
        <v>£m</v>
      </c>
      <c r="M134" s="89"/>
    </row>
    <row r="135" spans="2:13" outlineLevel="1" x14ac:dyDescent="0.2">
      <c r="E135" s="70" t="s">
        <v>183</v>
      </c>
      <c r="F135" s="91">
        <f xml:space="preserve">  IF( $F133 = 0, 0, $F134 / $F133 )</f>
        <v>-3.8089357093987121E-2</v>
      </c>
      <c r="G135" s="70" t="s">
        <v>115</v>
      </c>
      <c r="M135" s="91"/>
    </row>
    <row r="136" spans="2:13" outlineLevel="1" x14ac:dyDescent="0.2"/>
    <row r="137" spans="2:13" outlineLevel="1" x14ac:dyDescent="0.2"/>
    <row r="138" spans="2:13" outlineLevel="1" x14ac:dyDescent="0.2">
      <c r="B138" s="69" t="s">
        <v>184</v>
      </c>
    </row>
    <row r="139" spans="2:13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2788.0898478281247</v>
      </c>
      <c r="G139" s="89" t="str">
        <f t="shared" si="23"/>
        <v>£m</v>
      </c>
      <c r="M139" s="89"/>
    </row>
    <row r="140" spans="2:13" outlineLevel="1" x14ac:dyDescent="0.2">
      <c r="E140" s="89" t="str">
        <f t="shared" ref="E140:G140" si="24" xml:space="preserve">  E$71</f>
        <v>Other environmental delta</v>
      </c>
      <c r="F140" s="89">
        <f t="shared" si="24"/>
        <v>454.53406284746103</v>
      </c>
      <c r="G140" s="89" t="str">
        <f t="shared" si="24"/>
        <v>£m</v>
      </c>
      <c r="M140" s="89"/>
    </row>
    <row r="141" spans="2:13" outlineLevel="1" x14ac:dyDescent="0.2">
      <c r="E141" s="70" t="s">
        <v>184</v>
      </c>
      <c r="F141" s="91">
        <f xml:space="preserve">  IF( $F139 = 0, 0, $F140 / $F139 )</f>
        <v>0.16302704993583167</v>
      </c>
      <c r="G141" s="70" t="s">
        <v>115</v>
      </c>
      <c r="M141" s="91"/>
    </row>
    <row r="142" spans="2:13" outlineLevel="1" x14ac:dyDescent="0.2"/>
    <row r="143" spans="2:13" outlineLevel="1" x14ac:dyDescent="0.2"/>
    <row r="144" spans="2:13" outlineLevel="1" x14ac:dyDescent="0.2">
      <c r="B144" s="69" t="s">
        <v>185</v>
      </c>
    </row>
    <row r="145" spans="1:13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2788.0898478281247</v>
      </c>
      <c r="G145" s="89" t="str">
        <f t="shared" si="25"/>
        <v>£m</v>
      </c>
      <c r="M145" s="89"/>
    </row>
    <row r="146" spans="1:13" outlineLevel="1" x14ac:dyDescent="0.2">
      <c r="E146" s="89" t="str">
        <f t="shared" ref="E146:G146" si="26" xml:space="preserve">  E$78</f>
        <v>Other enhancement costs delta</v>
      </c>
      <c r="F146" s="89">
        <f t="shared" si="26"/>
        <v>850.22786065596529</v>
      </c>
      <c r="G146" s="89" t="str">
        <f t="shared" si="26"/>
        <v>£m</v>
      </c>
      <c r="M146" s="89"/>
    </row>
    <row r="147" spans="1:13" outlineLevel="1" x14ac:dyDescent="0.2">
      <c r="E147" s="70" t="s">
        <v>185</v>
      </c>
      <c r="F147" s="91">
        <f xml:space="preserve">  IF( $F145 = 0, 0, $F146 / $F145 )</f>
        <v>0.30494995034621231</v>
      </c>
      <c r="G147" s="70" t="s">
        <v>115</v>
      </c>
      <c r="M147" s="91"/>
    </row>
    <row r="148" spans="1:13" outlineLevel="1" x14ac:dyDescent="0.2"/>
    <row r="151" spans="1:13" x14ac:dyDescent="0.2">
      <c r="A151" s="69" t="s">
        <v>186</v>
      </c>
    </row>
    <row r="152" spans="1:13" outlineLevel="1" x14ac:dyDescent="0.2">
      <c r="B152" s="69" t="s">
        <v>187</v>
      </c>
    </row>
    <row r="153" spans="1:13" outlineLevel="1" x14ac:dyDescent="0.2">
      <c r="E153" s="91" t="str">
        <f t="shared" ref="E153:G153" si="27" xml:space="preserve">  E$99</f>
        <v>Base expenditure proportion</v>
      </c>
      <c r="F153" s="91">
        <f t="shared" si="27"/>
        <v>0.22474431050247723</v>
      </c>
      <c r="G153" s="91" t="str">
        <f t="shared" si="27"/>
        <v>factor</v>
      </c>
      <c r="M153" s="91"/>
    </row>
    <row r="154" spans="1:13" outlineLevel="1" x14ac:dyDescent="0.2">
      <c r="E154" s="89" t="str">
        <f t="shared" ref="E154:G154" si="28" xml:space="preserve">  E$13</f>
        <v>Costs impact</v>
      </c>
      <c r="F154" s="89">
        <f t="shared" si="28"/>
        <v>64.896169033540446</v>
      </c>
      <c r="G154" s="89" t="str">
        <f t="shared" si="28"/>
        <v>£ / customer</v>
      </c>
      <c r="M154" s="89"/>
    </row>
    <row r="155" spans="1:13" outlineLevel="1" x14ac:dyDescent="0.2">
      <c r="E155" s="70" t="s">
        <v>187</v>
      </c>
      <c r="F155" s="89">
        <f xml:space="preserve">  $F153 * $F154</f>
        <v>14.585044763695262</v>
      </c>
      <c r="G155" s="70" t="s">
        <v>50</v>
      </c>
      <c r="M155" s="89"/>
    </row>
    <row r="156" spans="1:13" outlineLevel="1" x14ac:dyDescent="0.2"/>
    <row r="157" spans="1:13" outlineLevel="1" x14ac:dyDescent="0.2"/>
    <row r="158" spans="1:13" outlineLevel="1" x14ac:dyDescent="0.2">
      <c r="B158" s="69" t="s">
        <v>188</v>
      </c>
    </row>
    <row r="159" spans="1:13" outlineLevel="1" x14ac:dyDescent="0.2">
      <c r="E159" s="91" t="str">
        <f t="shared" ref="E159:G159" si="29" xml:space="preserve">  E$105</f>
        <v>Storm overflows proportion</v>
      </c>
      <c r="F159" s="91">
        <f t="shared" si="29"/>
        <v>9.7120897163324837E-2</v>
      </c>
      <c r="G159" s="91" t="str">
        <f t="shared" si="29"/>
        <v>factor</v>
      </c>
      <c r="M159" s="91"/>
    </row>
    <row r="160" spans="1:13" outlineLevel="1" x14ac:dyDescent="0.2">
      <c r="E160" s="89" t="str">
        <f t="shared" ref="E160:G160" si="30" xml:space="preserve">  E$13</f>
        <v>Costs impact</v>
      </c>
      <c r="F160" s="89">
        <f t="shared" si="30"/>
        <v>64.896169033540446</v>
      </c>
      <c r="G160" s="89" t="str">
        <f t="shared" si="30"/>
        <v>£ / customer</v>
      </c>
      <c r="M160" s="89"/>
    </row>
    <row r="161" spans="2:13" outlineLevel="1" x14ac:dyDescent="0.2">
      <c r="E161" s="70" t="s">
        <v>188</v>
      </c>
      <c r="F161" s="89">
        <f xml:space="preserve">  $F159 * $F160</f>
        <v>6.3027741590002275</v>
      </c>
      <c r="G161" s="70" t="s">
        <v>50</v>
      </c>
      <c r="M161" s="89"/>
    </row>
    <row r="162" spans="2:13" outlineLevel="1" x14ac:dyDescent="0.2"/>
    <row r="163" spans="2:13" outlineLevel="1" x14ac:dyDescent="0.2"/>
    <row r="164" spans="2:13" outlineLevel="1" x14ac:dyDescent="0.2">
      <c r="B164" s="69" t="s">
        <v>189</v>
      </c>
    </row>
    <row r="165" spans="2:13" outlineLevel="1" x14ac:dyDescent="0.2">
      <c r="E165" s="91" t="str">
        <f t="shared" ref="E165:G165" si="31" xml:space="preserve">  E$111</f>
        <v>Nutrient removal proportion</v>
      </c>
      <c r="F165" s="91">
        <f t="shared" si="31"/>
        <v>8.4642291252784288E-2</v>
      </c>
      <c r="G165" s="91" t="str">
        <f t="shared" si="31"/>
        <v>factor</v>
      </c>
      <c r="M165" s="91"/>
    </row>
    <row r="166" spans="2:13" outlineLevel="1" x14ac:dyDescent="0.2">
      <c r="E166" s="89" t="str">
        <f t="shared" ref="E166:G166" si="32" xml:space="preserve">  E$13</f>
        <v>Costs impact</v>
      </c>
      <c r="F166" s="89">
        <f t="shared" si="32"/>
        <v>64.896169033540446</v>
      </c>
      <c r="G166" s="89" t="str">
        <f t="shared" si="32"/>
        <v>£ / customer</v>
      </c>
      <c r="M166" s="89"/>
    </row>
    <row r="167" spans="2:13" outlineLevel="1" x14ac:dyDescent="0.2">
      <c r="E167" s="70" t="s">
        <v>189</v>
      </c>
      <c r="F167" s="89">
        <f xml:space="preserve">  $F165 * $F166</f>
        <v>5.4929604405268506</v>
      </c>
      <c r="G167" s="70" t="s">
        <v>50</v>
      </c>
      <c r="M167" s="89"/>
    </row>
    <row r="168" spans="2:13" outlineLevel="1" x14ac:dyDescent="0.2"/>
    <row r="169" spans="2:13" outlineLevel="1" x14ac:dyDescent="0.2"/>
    <row r="170" spans="2:13" outlineLevel="1" x14ac:dyDescent="0.2">
      <c r="B170" s="69" t="s">
        <v>190</v>
      </c>
    </row>
    <row r="171" spans="2:13" outlineLevel="1" x14ac:dyDescent="0.2">
      <c r="E171" s="91" t="str">
        <f t="shared" ref="E171:G171" si="33" xml:space="preserve">  E$117</f>
        <v>Resilience proportion</v>
      </c>
      <c r="F171" s="91">
        <f t="shared" si="33"/>
        <v>6.3467964993333181E-2</v>
      </c>
      <c r="G171" s="91" t="str">
        <f t="shared" si="33"/>
        <v>factor</v>
      </c>
      <c r="M171" s="91"/>
    </row>
    <row r="172" spans="2:13" outlineLevel="1" x14ac:dyDescent="0.2">
      <c r="E172" s="89" t="str">
        <f t="shared" ref="E172:G172" si="34" xml:space="preserve">  E$13</f>
        <v>Costs impact</v>
      </c>
      <c r="F172" s="89">
        <f t="shared" si="34"/>
        <v>64.896169033540446</v>
      </c>
      <c r="G172" s="89" t="str">
        <f t="shared" si="34"/>
        <v>£ / customer</v>
      </c>
      <c r="M172" s="89"/>
    </row>
    <row r="173" spans="2:13" outlineLevel="1" x14ac:dyDescent="0.2">
      <c r="E173" s="70" t="s">
        <v>190</v>
      </c>
      <c r="F173" s="89">
        <f xml:space="preserve">  $F171 * $F172</f>
        <v>4.1188277844221775</v>
      </c>
      <c r="G173" s="70" t="s">
        <v>50</v>
      </c>
      <c r="M173" s="89"/>
    </row>
    <row r="174" spans="2:13" outlineLevel="1" x14ac:dyDescent="0.2"/>
    <row r="175" spans="2:13" outlineLevel="1" x14ac:dyDescent="0.2"/>
    <row r="176" spans="2:13" outlineLevel="1" x14ac:dyDescent="0.2">
      <c r="B176" s="69" t="s">
        <v>191</v>
      </c>
    </row>
    <row r="177" spans="2:13" outlineLevel="1" x14ac:dyDescent="0.2">
      <c r="E177" s="91" t="str">
        <f t="shared" ref="E177:G177" si="35" xml:space="preserve">  E$123</f>
        <v>Net zero proportion</v>
      </c>
      <c r="F177" s="91">
        <f t="shared" si="35"/>
        <v>5.3633136226878458E-2</v>
      </c>
      <c r="G177" s="91" t="str">
        <f t="shared" si="35"/>
        <v>factor</v>
      </c>
      <c r="M177" s="91"/>
    </row>
    <row r="178" spans="2:13" outlineLevel="1" x14ac:dyDescent="0.2">
      <c r="E178" s="89" t="str">
        <f t="shared" ref="E178:G178" si="36" xml:space="preserve">  E$13</f>
        <v>Costs impact</v>
      </c>
      <c r="F178" s="89">
        <f t="shared" si="36"/>
        <v>64.896169033540446</v>
      </c>
      <c r="G178" s="89" t="str">
        <f t="shared" si="36"/>
        <v>£ / customer</v>
      </c>
      <c r="M178" s="89"/>
    </row>
    <row r="179" spans="2:13" outlineLevel="1" x14ac:dyDescent="0.2">
      <c r="E179" s="70" t="s">
        <v>191</v>
      </c>
      <c r="F179" s="89">
        <f xml:space="preserve">  $F177 * $F178</f>
        <v>3.4805850743784061</v>
      </c>
      <c r="G179" s="70" t="s">
        <v>50</v>
      </c>
      <c r="M179" s="89"/>
    </row>
    <row r="180" spans="2:13" outlineLevel="1" x14ac:dyDescent="0.2"/>
    <row r="181" spans="2:13" outlineLevel="1" x14ac:dyDescent="0.2"/>
    <row r="182" spans="2:13" outlineLevel="1" x14ac:dyDescent="0.2">
      <c r="B182" s="69" t="s">
        <v>192</v>
      </c>
    </row>
    <row r="183" spans="2:13" outlineLevel="1" x14ac:dyDescent="0.2">
      <c r="E183" s="91" t="str">
        <f t="shared" ref="E183:G183" si="37" xml:space="preserve">  E$129</f>
        <v>WRMP proportion</v>
      </c>
      <c r="F183" s="91">
        <f t="shared" si="37"/>
        <v>4.6503756673145068E-2</v>
      </c>
      <c r="G183" s="91" t="str">
        <f t="shared" si="37"/>
        <v>factor</v>
      </c>
      <c r="M183" s="91"/>
    </row>
    <row r="184" spans="2:13" outlineLevel="1" x14ac:dyDescent="0.2">
      <c r="E184" s="89" t="str">
        <f t="shared" ref="E184:G184" si="38" xml:space="preserve">  E$13</f>
        <v>Costs impact</v>
      </c>
      <c r="F184" s="89">
        <f t="shared" si="38"/>
        <v>64.896169033540446</v>
      </c>
      <c r="G184" s="89" t="str">
        <f t="shared" si="38"/>
        <v>£ / customer</v>
      </c>
      <c r="M184" s="89"/>
    </row>
    <row r="185" spans="2:13" outlineLevel="1" x14ac:dyDescent="0.2">
      <c r="E185" s="70" t="s">
        <v>192</v>
      </c>
      <c r="F185" s="89">
        <f xml:space="preserve">  $F183 * $F184</f>
        <v>3.0179156537550567</v>
      </c>
      <c r="G185" s="70" t="s">
        <v>50</v>
      </c>
      <c r="M185" s="89"/>
    </row>
    <row r="186" spans="2:13" outlineLevel="1" x14ac:dyDescent="0.2"/>
    <row r="187" spans="2:13" outlineLevel="1" x14ac:dyDescent="0.2"/>
    <row r="188" spans="2:13" outlineLevel="1" x14ac:dyDescent="0.2">
      <c r="B188" s="69" t="s">
        <v>193</v>
      </c>
    </row>
    <row r="189" spans="2:13" outlineLevel="1" x14ac:dyDescent="0.2">
      <c r="E189" s="91" t="str">
        <f t="shared" ref="E189:G189" si="39" xml:space="preserve">  E$135</f>
        <v>Environmental proportion</v>
      </c>
      <c r="F189" s="91">
        <f t="shared" si="39"/>
        <v>-3.8089357093987121E-2</v>
      </c>
      <c r="G189" s="91" t="str">
        <f t="shared" si="39"/>
        <v>factor</v>
      </c>
      <c r="M189" s="91"/>
    </row>
    <row r="190" spans="2:13" outlineLevel="1" x14ac:dyDescent="0.2">
      <c r="E190" s="89" t="str">
        <f t="shared" ref="E190:G190" si="40" xml:space="preserve">  E$13</f>
        <v>Costs impact</v>
      </c>
      <c r="F190" s="89">
        <f t="shared" si="40"/>
        <v>64.896169033540446</v>
      </c>
      <c r="G190" s="89" t="str">
        <f t="shared" si="40"/>
        <v>£ / customer</v>
      </c>
      <c r="M190" s="89"/>
    </row>
    <row r="191" spans="2:13" outlineLevel="1" x14ac:dyDescent="0.2">
      <c r="E191" s="70" t="s">
        <v>193</v>
      </c>
      <c r="F191" s="89">
        <f xml:space="preserve">  $F189 * $F190</f>
        <v>-2.4718533563502709</v>
      </c>
      <c r="G191" s="70" t="s">
        <v>50</v>
      </c>
      <c r="M191" s="89"/>
    </row>
    <row r="192" spans="2:13" outlineLevel="1" x14ac:dyDescent="0.2"/>
    <row r="193" spans="2:13" outlineLevel="1" x14ac:dyDescent="0.2"/>
    <row r="194" spans="2:13" outlineLevel="1" x14ac:dyDescent="0.2">
      <c r="B194" s="69" t="s">
        <v>194</v>
      </c>
    </row>
    <row r="195" spans="2:13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0.16302704993583167</v>
      </c>
      <c r="G195" s="91" t="str">
        <f t="shared" si="41"/>
        <v>factor</v>
      </c>
      <c r="M195" s="91"/>
    </row>
    <row r="196" spans="2:13" outlineLevel="1" x14ac:dyDescent="0.2">
      <c r="E196" s="89" t="str">
        <f t="shared" ref="E196:G196" si="42" xml:space="preserve">  E$13</f>
        <v>Costs impact</v>
      </c>
      <c r="F196" s="89">
        <f t="shared" si="42"/>
        <v>64.896169033540446</v>
      </c>
      <c r="G196" s="89" t="str">
        <f t="shared" si="42"/>
        <v>£ / customer</v>
      </c>
      <c r="M196" s="89"/>
    </row>
    <row r="197" spans="2:13" outlineLevel="1" x14ac:dyDescent="0.2">
      <c r="E197" s="70" t="s">
        <v>194</v>
      </c>
      <c r="F197" s="89">
        <f xml:space="preserve">  $F195 * $F196</f>
        <v>10.579830989675171</v>
      </c>
      <c r="G197" s="70" t="s">
        <v>50</v>
      </c>
      <c r="M197" s="89"/>
    </row>
    <row r="198" spans="2:13" outlineLevel="1" x14ac:dyDescent="0.2"/>
    <row r="199" spans="2:13" outlineLevel="1" x14ac:dyDescent="0.2"/>
    <row r="200" spans="2:13" outlineLevel="1" x14ac:dyDescent="0.2">
      <c r="B200" s="69" t="s">
        <v>195</v>
      </c>
    </row>
    <row r="201" spans="2:13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0.30494995034621231</v>
      </c>
      <c r="G201" s="91" t="str">
        <f t="shared" si="43"/>
        <v>factor</v>
      </c>
      <c r="M201" s="91"/>
    </row>
    <row r="202" spans="2:13" outlineLevel="1" x14ac:dyDescent="0.2">
      <c r="E202" s="89" t="str">
        <f t="shared" ref="E202:G202" si="44" xml:space="preserve">  E$13</f>
        <v>Costs impact</v>
      </c>
      <c r="F202" s="89">
        <f t="shared" si="44"/>
        <v>64.896169033540446</v>
      </c>
      <c r="G202" s="89" t="str">
        <f t="shared" si="44"/>
        <v>£ / customer</v>
      </c>
      <c r="M202" s="89"/>
    </row>
    <row r="203" spans="2:13" outlineLevel="1" x14ac:dyDescent="0.2">
      <c r="E203" s="70" t="s">
        <v>195</v>
      </c>
      <c r="F203" s="89">
        <f xml:space="preserve">  $F201 * $F202</f>
        <v>19.790083524437559</v>
      </c>
      <c r="G203" s="70" t="s">
        <v>50</v>
      </c>
      <c r="M203" s="89"/>
    </row>
    <row r="204" spans="2:13" outlineLevel="1" x14ac:dyDescent="0.2"/>
    <row r="207" spans="2:13" x14ac:dyDescent="0.2">
      <c r="B207" s="70" t="s">
        <v>98</v>
      </c>
    </row>
  </sheetData>
  <conditionalFormatting sqref="F2">
    <cfRule type="cellIs" dxfId="19" priority="3" stopIfTrue="1" operator="equal">
      <formula>""</formula>
    </cfRule>
  </conditionalFormatting>
  <conditionalFormatting sqref="F2:F3">
    <cfRule type="cellIs" dxfId="18" priority="1" stopIfTrue="1" operator="notEqual">
      <formula>0</formula>
    </cfRule>
  </conditionalFormatting>
  <conditionalFormatting sqref="J3:S3">
    <cfRule type="cellIs" dxfId="17" priority="9" operator="equal">
      <formula>"PPA ext."</formula>
    </cfRule>
    <cfRule type="cellIs" dxfId="16" priority="10" operator="equal">
      <formula>"Delay"</formula>
    </cfRule>
    <cfRule type="cellIs" dxfId="15" priority="11" operator="equal">
      <formula>"Fin Close"</formula>
    </cfRule>
    <cfRule type="cellIs" dxfId="14" priority="12" stopIfTrue="1" operator="equal">
      <formula>"Construction"</formula>
    </cfRule>
    <cfRule type="cellIs" dxfId="13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workbookViewId="0">
      <selection activeCell="F26" sqref="F26"/>
    </sheetView>
  </sheetViews>
  <sheetFormatPr defaultColWidth="0" defaultRowHeight="13" x14ac:dyDescent="0.2"/>
  <cols>
    <col min="1" max="2" width="1.44140625" style="7" customWidth="1"/>
    <col min="3" max="3" width="1.44140625" style="24" customWidth="1"/>
    <col min="4" max="4" width="1.44140625" style="45" customWidth="1"/>
    <col min="5" max="5" width="71.44140625" style="9" customWidth="1"/>
    <col min="6" max="6" width="16.33203125" style="9" customWidth="1"/>
    <col min="7" max="8" width="15.109375" style="9" customWidth="1"/>
    <col min="9" max="9" width="3.44140625" style="9" customWidth="1"/>
    <col min="10" max="15" width="15.109375" style="9" customWidth="1"/>
    <col min="16" max="16" width="15.109375" style="9" hidden="1" customWidth="1"/>
    <col min="17" max="16384" width="15.109375" style="9" hidden="1"/>
  </cols>
  <sheetData>
    <row r="1" spans="1:15" s="20" customFormat="1" ht="26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472.38795616390502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83.983823522995124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-34.7670949157216</v>
      </c>
    </row>
    <row r="13" spans="1:15" x14ac:dyDescent="0.2">
      <c r="E13" s="9" t="str">
        <f xml:space="preserve"> RCV!E73</f>
        <v>RCV</v>
      </c>
      <c r="F13" s="51">
        <f xml:space="preserve"> RCV!F73</f>
        <v>30.346119591613522</v>
      </c>
    </row>
    <row r="14" spans="1:15" x14ac:dyDescent="0.2">
      <c r="E14" s="9" t="str">
        <f xml:space="preserve"> RCV!E80</f>
        <v>Run-off rates</v>
      </c>
      <c r="F14" s="51">
        <f xml:space="preserve"> RCV!F80</f>
        <v>-14.666679165346604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32.268949133223515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13.801390816220662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-6.2157765393274662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3.1034868761533616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-21.830990985117182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558.41118449859835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472.38795616390502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14.585044763695262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6.3027741590002275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5.4929604405268506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4.1188277844221775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3.4805850743784061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3.0179156537550567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-2.4718533563502709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10.579830989675171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19.790083524437559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32.268949133223515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13.801390816220662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-6.2157765393274662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3.1034868761533616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-21.830990985117182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558.41118449859835</v>
      </c>
    </row>
  </sheetData>
  <conditionalFormatting sqref="F2">
    <cfRule type="cellIs" dxfId="12" priority="3" stopIfTrue="1" operator="equal">
      <formula>""</formula>
    </cfRule>
  </conditionalFormatting>
  <conditionalFormatting sqref="F2:F3">
    <cfRule type="cellIs" dxfId="11" priority="1" stopIfTrue="1" operator="notEqual">
      <formula>0</formula>
    </cfRule>
  </conditionalFormatting>
  <conditionalFormatting sqref="J3:O3">
    <cfRule type="cellIs" dxfId="10" priority="4" operator="equal">
      <formula>"PPA ext."</formula>
    </cfRule>
    <cfRule type="cellIs" dxfId="9" priority="5" operator="equal">
      <formula>"Delay"</formula>
    </cfRule>
    <cfRule type="cellIs" dxfId="8" priority="6" operator="equal">
      <formula>"Fin Close"</formula>
    </cfRule>
    <cfRule type="cellIs" dxfId="7" priority="7" stopIfTrue="1" operator="equal">
      <formula>"Construction"</formula>
    </cfRule>
    <cfRule type="cellIs" dxfId="6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x14ac:dyDescent="0.2"/>
  <cols>
    <col min="1" max="4" width="1.44140625" style="70" customWidth="1"/>
    <col min="5" max="5" width="44" style="70" bestFit="1" customWidth="1"/>
    <col min="6" max="6" width="18.6640625" style="70" bestFit="1" customWidth="1"/>
    <col min="7" max="7" width="14.664062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44" customFormat="1" ht="26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83.983823522995124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-34.7670949157216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30.346119591613522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-14.666679165346604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32.268949133223515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13.801390816220662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-6.2157765393274662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3.1034868761533616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-21.830990985117182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F2:F3">
    <cfRule type="cellIs" dxfId="5" priority="1" stopIfTrue="1" operator="notEqual">
      <formula>0</formula>
    </cfRule>
  </conditionalFormatting>
  <conditionalFormatting sqref="J3:S3">
    <cfRule type="cellIs" dxfId="4" priority="3" operator="equal">
      <formula>"PPA ext."</formula>
    </cfRule>
    <cfRule type="cellIs" dxfId="3" priority="4" operator="equal">
      <formula>"Delay"</formula>
    </cfRule>
    <cfRule type="cellIs" dxfId="2" priority="5" operator="equal">
      <formula>"Fin Close"</formula>
    </cfRule>
    <cfRule type="cellIs" dxfId="1" priority="6" stopIfTrue="1" operator="equal">
      <formula>"Construction"</formula>
    </cfRule>
    <cfRule type="cellIs" dxfId="0" priority="7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topLeftCell="D1" zoomScale="70" zoomScaleNormal="70" workbookViewId="0">
      <selection activeCell="O50" sqref="O50"/>
    </sheetView>
  </sheetViews>
  <sheetFormatPr defaultColWidth="0" defaultRowHeight="12.75" customHeight="1" zeroHeight="1" x14ac:dyDescent="0.2"/>
  <cols>
    <col min="1" max="1" width="8.6640625" style="31" customWidth="1"/>
    <col min="2" max="2" width="52.6640625" style="31" bestFit="1" customWidth="1"/>
    <col min="3" max="5" width="23.33203125" style="31" customWidth="1"/>
    <col min="6" max="20" width="8.6640625" style="31" customWidth="1"/>
    <col min="21" max="21" width="51.6640625" style="31" customWidth="1"/>
    <col min="22" max="22" width="9" style="31" hidden="1" customWidth="1"/>
    <col min="23" max="42" width="8.6640625" style="31" customWidth="1"/>
    <col min="43" max="43" width="8.6640625" style="31" hidden="1" customWidth="1"/>
    <col min="44" max="16384" width="8.6640625" style="31" hidden="1"/>
  </cols>
  <sheetData>
    <row r="1" spans="1:42" s="44" customFormat="1" ht="26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6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2">
      <c r="A4" s="83"/>
      <c r="B4" s="41" t="s">
        <v>205</v>
      </c>
      <c r="C4" s="29">
        <f>OBXValues!F10</f>
        <v>472.38795616390502</v>
      </c>
      <c r="D4" s="29">
        <f>OBXValues!F10</f>
        <v>472.38795616390502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2">
      <c r="A5" s="83"/>
      <c r="B5" s="41" t="s">
        <v>118</v>
      </c>
      <c r="C5" s="29">
        <f>OBXValues!F11</f>
        <v>83.983823522995124</v>
      </c>
      <c r="D5" s="29"/>
      <c r="E5" s="29">
        <f xml:space="preserve"> MAX(0,MIN(SUM(C$4:C4),SUM(C$4:C5)))+MIN(0,MAX(SUM(C$4:C4),SUM(C$4:C5)))</f>
        <v>472.38795616390502</v>
      </c>
      <c r="F5" s="28">
        <f xml:space="preserve"> MAX(0,MIN(SUM(C$4:C5),C5))</f>
        <v>83.983823522995124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2">
      <c r="A6" s="83"/>
      <c r="B6" s="41" t="s">
        <v>206</v>
      </c>
      <c r="C6" s="29">
        <f>OBXValues!F12</f>
        <v>-34.7670949157216</v>
      </c>
      <c r="D6" s="29"/>
      <c r="E6" s="29">
        <f xml:space="preserve"> MAX(0,MIN(SUM(C$4:C5),SUM(C$4:C6)))+MIN(0,MAX(SUM(C$4:C5),SUM(C$4:C6)))</f>
        <v>521.60468477117854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34.7670949157216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2">
      <c r="A7" s="83"/>
      <c r="B7" s="41" t="s">
        <v>35</v>
      </c>
      <c r="C7" s="29">
        <f>OBXValues!F13</f>
        <v>30.346119591613522</v>
      </c>
      <c r="D7" s="29"/>
      <c r="E7" s="29">
        <f xml:space="preserve"> MAX(0,MIN(SUM(C$4:C6),SUM(C$4:C7)))+MIN(0,MAX(SUM(C$4:C6),SUM(C$4:C7)))</f>
        <v>521.60468477117854</v>
      </c>
      <c r="F7" s="28">
        <f xml:space="preserve"> MAX(0,MIN(SUM(C$4:C7),C7))</f>
        <v>30.346119591613522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2">
      <c r="A8" s="83"/>
      <c r="B8" s="41" t="s">
        <v>132</v>
      </c>
      <c r="C8" s="29">
        <f>OBXValues!F14</f>
        <v>-14.666679165346604</v>
      </c>
      <c r="D8" s="29"/>
      <c r="E8" s="29">
        <f xml:space="preserve"> MAX(0,MIN(SUM(C$4:C7),SUM(C$4:C8)))+MIN(0,MAX(SUM(C$4:C7),SUM(C$4:C8)))</f>
        <v>537.28412519744541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14.666679165346604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2">
      <c r="A9" s="83"/>
      <c r="B9" s="41" t="s">
        <v>139</v>
      </c>
      <c r="C9" s="29">
        <f>OBXValues!F15</f>
        <v>32.268949133223515</v>
      </c>
      <c r="D9" s="29"/>
      <c r="E9" s="29">
        <f xml:space="preserve"> MAX(0,MIN(SUM(C$4:C8),SUM(C$4:C9)))+MIN(0,MAX(SUM(C$4:C8),SUM(C$4:C9)))</f>
        <v>537.28412519744541</v>
      </c>
      <c r="F9" s="28">
        <f xml:space="preserve"> MAX(0,MIN(SUM(C$4:C9),C9))</f>
        <v>32.268949133223515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2">
      <c r="A10" s="83"/>
      <c r="B10" s="41" t="s">
        <v>144</v>
      </c>
      <c r="C10" s="29">
        <f>OBXValues!F16</f>
        <v>13.801390816220662</v>
      </c>
      <c r="D10" s="29"/>
      <c r="E10" s="29">
        <f xml:space="preserve"> MAX(0,MIN(SUM(C$4:C9),SUM(C$4:C10)))+MIN(0,MAX(SUM(C$4:C9),SUM(C$4:C10)))</f>
        <v>569.55307433066889</v>
      </c>
      <c r="F10" s="28">
        <f xml:space="preserve"> MAX(0,MIN(SUM(C$4:C10),C10))</f>
        <v>13.801390816220662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2">
      <c r="A11" s="83"/>
      <c r="B11" s="41" t="s">
        <v>55</v>
      </c>
      <c r="C11" s="29">
        <f>OBXValues!F17</f>
        <v>-6.2157765393274662</v>
      </c>
      <c r="D11" s="29"/>
      <c r="E11" s="29">
        <f xml:space="preserve"> MAX(0,MIN(SUM(C$4:C10),SUM(C$4:C11)))+MIN(0,MAX(SUM(C$4:C10),SUM(C$4:C11)))</f>
        <v>577.13868860756202</v>
      </c>
      <c r="F11" s="28">
        <f xml:space="preserve"> MAX(0,MIN(SUM(C$4:C11),C11))</f>
        <v>0</v>
      </c>
      <c r="G11" s="28">
        <f t="shared" si="0"/>
        <v>0</v>
      </c>
      <c r="H11" s="28">
        <f t="shared" si="1"/>
        <v>6.2157765393274662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2">
      <c r="A12" s="83"/>
      <c r="B12" s="41" t="s">
        <v>159</v>
      </c>
      <c r="C12" s="29">
        <f>OBXValues!F18</f>
        <v>3.1034868761533616</v>
      </c>
      <c r="D12" s="29"/>
      <c r="E12" s="29">
        <f xml:space="preserve"> MAX(0,MIN(SUM(C$4:C11),SUM(C$4:C12)))+MIN(0,MAX(SUM(C$4:C11),SUM(C$4:C12)))</f>
        <v>577.13868860756202</v>
      </c>
      <c r="F12" s="28">
        <f xml:space="preserve"> MAX(0,MIN(SUM(C$4:C12),C12))</f>
        <v>3.1034868761533616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2">
      <c r="A13" s="83"/>
      <c r="B13" s="41" t="s">
        <v>163</v>
      </c>
      <c r="C13" s="29">
        <f>OBXValues!F19</f>
        <v>-21.830990985117182</v>
      </c>
      <c r="D13" s="29"/>
      <c r="E13" s="29">
        <f xml:space="preserve"> MAX(0,MIN(SUM(C$4:C12),SUM(C$4:C13)))+MIN(0,MAX(SUM(C$4:C12),SUM(C$4:C13)))</f>
        <v>558.41118449859823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21.830990985117182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2">
      <c r="A14" s="83"/>
      <c r="B14" s="41" t="s">
        <v>51</v>
      </c>
      <c r="C14" s="29"/>
      <c r="D14" s="29">
        <f>SUM(C4:C13)</f>
        <v>558.41118449859823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2">
      <c r="A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1.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0.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20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20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20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20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20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20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20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20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20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20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20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2"/>
    <row r="68" spans="1:42" ht="9.75" customHeight="1" x14ac:dyDescent="0.2"/>
    <row r="69" spans="1:42" ht="9.75" customHeight="1" x14ac:dyDescent="0.2"/>
    <row r="70" spans="1:42" ht="9.75" customHeight="1" x14ac:dyDescent="0.2"/>
    <row r="71" spans="1:42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topLeftCell="J1" zoomScale="80" zoomScaleNormal="80" workbookViewId="0">
      <selection activeCell="R66" sqref="R66"/>
    </sheetView>
  </sheetViews>
  <sheetFormatPr defaultColWidth="0" defaultRowHeight="12.75" customHeight="1" zeroHeight="1" x14ac:dyDescent="0.2"/>
  <cols>
    <col min="1" max="1" width="8.6640625" style="31" customWidth="1"/>
    <col min="2" max="2" width="52.664062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3" width="8.6640625" style="31" customWidth="1"/>
    <col min="44" max="44" width="8.6640625" style="31" hidden="1" customWidth="1"/>
    <col min="45" max="16384" width="8.6640625" style="31" hidden="1"/>
  </cols>
  <sheetData>
    <row r="1" spans="1:43" s="44" customFormat="1" ht="26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6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2">
      <c r="A4" s="5"/>
      <c r="B4" s="41" t="s">
        <v>205</v>
      </c>
      <c r="C4" s="29">
        <f>OBXValues!F26</f>
        <v>472.38795616390502</v>
      </c>
      <c r="D4" s="29">
        <f>OBXValues!F26</f>
        <v>472.38795616390502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2">
      <c r="A5" s="5"/>
      <c r="B5" s="41" t="s">
        <v>187</v>
      </c>
      <c r="C5" s="29">
        <f>OBXValues!F27</f>
        <v>14.585044763695262</v>
      </c>
      <c r="D5" s="29"/>
      <c r="E5" s="29">
        <f xml:space="preserve"> MAX(0,MIN(SUM(C$4:C4),SUM(C$4:C5)))+MIN(0,MAX(SUM(C$4:C4),SUM(C$4:C5)))</f>
        <v>472.38795616390502</v>
      </c>
      <c r="F5" s="28">
        <f xml:space="preserve"> MAX(0,MIN(SUM(C$4:C5),C5))</f>
        <v>14.585044763695262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5"/>
      <c r="B6" s="41" t="s">
        <v>188</v>
      </c>
      <c r="C6" s="29">
        <f>OBXValues!F28</f>
        <v>6.3027741590002275</v>
      </c>
      <c r="D6" s="29"/>
      <c r="E6" s="29">
        <f xml:space="preserve"> MAX(0,MIN(SUM(C$4:C5),SUM(C$4:C6)))+MIN(0,MAX(SUM(C$4:C5),SUM(C$4:C6)))</f>
        <v>486.97300092760025</v>
      </c>
      <c r="F6" s="28">
        <f xml:space="preserve"> MAX(0,MIN(SUM(C$4:C6),C6))</f>
        <v>6.3027741590002275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2">
      <c r="A7" s="5"/>
      <c r="B7" s="41" t="s">
        <v>189</v>
      </c>
      <c r="C7" s="29">
        <f>OBXValues!F29</f>
        <v>5.4929604405268506</v>
      </c>
      <c r="D7" s="29"/>
      <c r="E7" s="29">
        <f xml:space="preserve"> MAX(0,MIN(SUM(C$4:C6),SUM(C$4:C7)))+MIN(0,MAX(SUM(C$4:C6),SUM(C$4:C7)))</f>
        <v>493.2757750866005</v>
      </c>
      <c r="F7" s="28">
        <f xml:space="preserve"> MAX(0,MIN(SUM(C$4:C7),C7))</f>
        <v>5.4929604405268506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2">
      <c r="A8" s="5"/>
      <c r="B8" s="41" t="s">
        <v>190</v>
      </c>
      <c r="C8" s="29">
        <f>OBXValues!F30</f>
        <v>4.1188277844221775</v>
      </c>
      <c r="D8" s="29"/>
      <c r="E8" s="29">
        <f xml:space="preserve"> MAX(0,MIN(SUM(C$4:C7),SUM(C$4:C8)))+MIN(0,MAX(SUM(C$4:C7),SUM(C$4:C8)))</f>
        <v>498.76873552712738</v>
      </c>
      <c r="F8" s="28">
        <f xml:space="preserve"> MAX(0,MIN(SUM(C$4:C8),C8))</f>
        <v>4.1188277844221775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2">
      <c r="A9" s="5"/>
      <c r="B9" s="41" t="s">
        <v>207</v>
      </c>
      <c r="C9" s="29">
        <f>OBXValues!F31</f>
        <v>3.4805850743784061</v>
      </c>
      <c r="D9" s="29"/>
      <c r="E9" s="29">
        <f xml:space="preserve"> MAX(0,MIN(SUM(C$4:C8),SUM(C$4:C9)))+MIN(0,MAX(SUM(C$4:C8),SUM(C$4:C9)))</f>
        <v>502.88756331154957</v>
      </c>
      <c r="F9" s="28">
        <f xml:space="preserve"> MAX(0,MIN(SUM(C$4:C9),C9))</f>
        <v>3.4805850743784061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2">
      <c r="A10" s="5"/>
      <c r="B10" s="41" t="s">
        <v>192</v>
      </c>
      <c r="C10" s="29">
        <f>OBXValues!F32</f>
        <v>3.0179156537550567</v>
      </c>
      <c r="D10" s="29"/>
      <c r="E10" s="29">
        <f xml:space="preserve"> MAX(0,MIN(SUM(C$4:C9),SUM(C$4:C10)))+MIN(0,MAX(SUM(C$4:C9),SUM(C$4:C10)))</f>
        <v>506.36814838592795</v>
      </c>
      <c r="F10" s="28">
        <f xml:space="preserve"> MAX(0,MIN(SUM(C$4:C10),C10))</f>
        <v>3.0179156537550567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2">
      <c r="A11" s="5"/>
      <c r="B11" s="41" t="s">
        <v>193</v>
      </c>
      <c r="C11" s="29">
        <f>OBXValues!F33+OBXValues!F34</f>
        <v>8.1079776333249001</v>
      </c>
      <c r="D11" s="29"/>
      <c r="E11" s="29">
        <f xml:space="preserve"> MAX(0,MIN(SUM(C$4:C10),SUM(C$4:C11)))+MIN(0,MAX(SUM(C$4:C10),SUM(C$4:C11)))</f>
        <v>509.38606403968299</v>
      </c>
      <c r="F11" s="28">
        <f xml:space="preserve"> MAX(0,MIN(SUM(C$4:C11),C11))</f>
        <v>8.1079776333249001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2">
      <c r="A12" s="5"/>
      <c r="B12" s="41" t="s">
        <v>195</v>
      </c>
      <c r="C12" s="29">
        <f>OBXValues!F35</f>
        <v>19.790083524437559</v>
      </c>
      <c r="D12" s="29"/>
      <c r="E12" s="29">
        <f xml:space="preserve"> MAX(0,MIN(SUM(C$4:C11),SUM(C$4:C12)))+MIN(0,MAX(SUM(C$4:C11),SUM(C$4:C12)))</f>
        <v>517.49404167300793</v>
      </c>
      <c r="F12" s="28">
        <f xml:space="preserve"> MAX(0,MIN(SUM(C$4:C12),C12))</f>
        <v>19.790083524437559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2">
      <c r="A13" s="5"/>
      <c r="B13" s="41" t="s">
        <v>139</v>
      </c>
      <c r="C13" s="29">
        <f>OBXValues!F36</f>
        <v>32.268949133223515</v>
      </c>
      <c r="D13" s="29"/>
      <c r="E13" s="29">
        <f xml:space="preserve"> MAX(0,MIN(SUM(C$4:C12),SUM(C$4:C13)))+MIN(0,MAX(SUM(C$4:C12),SUM(C$4:C13)))</f>
        <v>537.28412519744552</v>
      </c>
      <c r="F13" s="28">
        <f xml:space="preserve"> MAX(0,MIN(SUM(C$4:C13),C13))</f>
        <v>32.268949133223515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2">
      <c r="A14" s="5"/>
      <c r="B14" s="41" t="s">
        <v>144</v>
      </c>
      <c r="C14" s="29">
        <f>OBXValues!F37</f>
        <v>13.801390816220662</v>
      </c>
      <c r="D14" s="29"/>
      <c r="E14" s="29">
        <f xml:space="preserve"> MAX(0,MIN(SUM(C$4:C13),SUM(C$4:C14)))+MIN(0,MAX(SUM(C$4:C13),SUM(C$4:C14)))</f>
        <v>569.55307433066901</v>
      </c>
      <c r="F14" s="28">
        <f xml:space="preserve"> MAX(0,MIN(SUM(C$4:C14),C14))</f>
        <v>13.801390816220662</v>
      </c>
      <c r="G14" s="28">
        <f t="shared" si="0"/>
        <v>0</v>
      </c>
      <c r="H14" s="28">
        <f t="shared" si="1"/>
        <v>0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2">
      <c r="A15" s="5"/>
      <c r="B15" s="41" t="s">
        <v>55</v>
      </c>
      <c r="C15" s="29">
        <f>OBXValues!F38</f>
        <v>-6.2157765393274662</v>
      </c>
      <c r="D15" s="29"/>
      <c r="E15" s="29">
        <f xml:space="preserve"> MAX(0,MIN(SUM(C$4:C14),SUM(C$4:C15)))+MIN(0,MAX(SUM(C$4:C14),SUM(C$4:C15)))</f>
        <v>577.13868860756213</v>
      </c>
      <c r="F15" s="28">
        <f xml:space="preserve"> MAX(0,MIN(SUM(C$4:C15),C15))</f>
        <v>0</v>
      </c>
      <c r="G15" s="28">
        <f t="shared" si="0"/>
        <v>0</v>
      </c>
      <c r="H15" s="28">
        <f t="shared" si="1"/>
        <v>6.2157765393274662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2">
      <c r="A16" s="5"/>
      <c r="B16" s="41" t="s">
        <v>159</v>
      </c>
      <c r="C16" s="29">
        <f>OBXValues!F39</f>
        <v>3.1034868761533616</v>
      </c>
      <c r="D16" s="29"/>
      <c r="E16" s="29">
        <f xml:space="preserve"> MAX(0,MIN(SUM(C$4:C15),SUM(C$4:C16)))+MIN(0,MAX(SUM(C$4:C15),SUM(C$4:C16)))</f>
        <v>577.13868860756213</v>
      </c>
      <c r="F16" s="28">
        <f xml:space="preserve"> MAX(0,MIN(SUM(C$4:C16),C16))</f>
        <v>3.1034868761533616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2">
      <c r="A17" s="5"/>
      <c r="B17" s="41" t="s">
        <v>163</v>
      </c>
      <c r="C17" s="29">
        <f>OBXValues!F40</f>
        <v>-21.830990985117182</v>
      </c>
      <c r="D17" s="29"/>
      <c r="E17" s="29">
        <f xml:space="preserve"> MAX(0,MIN(SUM(C$4:C16),SUM(C$4:C17)))+MIN(0,MAX(SUM(C$4:C16),SUM(C$4:C17)))</f>
        <v>558.41118449859835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21.830990985117182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2">
      <c r="A18" s="5"/>
      <c r="B18" s="41" t="s">
        <v>51</v>
      </c>
      <c r="C18" s="29"/>
      <c r="D18" s="29">
        <f>SUM(C4:C17)</f>
        <v>558.41118449859835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2">
      <c r="A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1.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2">
      <c r="A37" s="5"/>
      <c r="B37" s="5"/>
      <c r="C37" s="12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2">
      <c r="A38" s="5"/>
      <c r="B38" s="5"/>
      <c r="C38" s="12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workbookViewId="0"/>
  </sheetViews>
  <sheetFormatPr defaultColWidth="0" defaultRowHeight="10.5" x14ac:dyDescent="0.2"/>
  <cols>
    <col min="1" max="1" width="49.6640625" style="31" bestFit="1" customWidth="1"/>
    <col min="2" max="2" width="17.33203125" style="31" bestFit="1" customWidth="1"/>
    <col min="3" max="3" width="10.33203125" style="31" bestFit="1" customWidth="1"/>
    <col min="4" max="4" width="10.44140625" style="31" bestFit="1" customWidth="1"/>
    <col min="5" max="5" width="14.44140625" style="31" bestFit="1" customWidth="1"/>
    <col min="6" max="6" width="21.109375" style="31" bestFit="1" customWidth="1"/>
    <col min="7" max="7" width="17.44140625" style="31" bestFit="1" customWidth="1"/>
    <col min="8" max="8" width="14.33203125" style="31" bestFit="1" customWidth="1"/>
    <col min="9" max="9" width="17.6640625" style="31" bestFit="1" customWidth="1"/>
    <col min="10" max="10" width="51.6640625" style="31" bestFit="1" customWidth="1"/>
    <col min="11" max="12" width="13" style="31" bestFit="1" customWidth="1"/>
    <col min="13" max="13" width="9.109375" style="31" hidden="1" customWidth="1"/>
    <col min="14" max="16384" width="9.109375" style="31" hidden="1"/>
  </cols>
  <sheetData>
    <row r="1" spans="1:12" x14ac:dyDescent="0.2">
      <c r="A1" s="31" t="s">
        <v>208</v>
      </c>
      <c r="B1" s="31" t="s">
        <v>209</v>
      </c>
      <c r="C1" s="31" t="s">
        <v>210</v>
      </c>
      <c r="D1" s="31" t="s">
        <v>211</v>
      </c>
      <c r="E1" s="31" t="s">
        <v>212</v>
      </c>
      <c r="F1" s="31" t="s">
        <v>213</v>
      </c>
      <c r="G1" s="31" t="s">
        <v>214</v>
      </c>
      <c r="H1" s="31" t="s">
        <v>215</v>
      </c>
      <c r="I1" s="31" t="s">
        <v>216</v>
      </c>
      <c r="J1" s="31" t="s">
        <v>217</v>
      </c>
      <c r="K1" s="31" t="s">
        <v>218</v>
      </c>
      <c r="L1" s="31" t="s">
        <v>219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220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221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1037.5756544096971</v>
      </c>
      <c r="I4" s="31">
        <v>0</v>
      </c>
      <c r="J4" s="31" t="s">
        <v>222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1743.169925846719</v>
      </c>
      <c r="I5" s="31">
        <v>0</v>
      </c>
      <c r="J5" s="31" t="s">
        <v>223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529.58998928332221</v>
      </c>
      <c r="I6" s="31">
        <v>0</v>
      </c>
      <c r="J6" s="31" t="s">
        <v>224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780.24466744628114</v>
      </c>
      <c r="I7" s="31">
        <v>0</v>
      </c>
      <c r="J7" s="31" t="s">
        <v>225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1182.7736697319526</v>
      </c>
      <c r="I8" s="31">
        <v>0</v>
      </c>
      <c r="J8" s="31" t="s">
        <v>226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1726.3024956347729</v>
      </c>
      <c r="I9" s="31">
        <v>0</v>
      </c>
      <c r="J9" s="31" t="s">
        <v>227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380.29894017961021</v>
      </c>
      <c r="I10" s="31">
        <v>0</v>
      </c>
      <c r="J10" s="31" t="s">
        <v>228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498.37121209367302</v>
      </c>
      <c r="I11" s="31">
        <v>0</v>
      </c>
      <c r="J11" s="31" t="s">
        <v>229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8023.2075997205802</v>
      </c>
      <c r="I12" s="31">
        <v>0</v>
      </c>
      <c r="J12" s="31" t="s">
        <v>230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11488.629221568635</v>
      </c>
      <c r="I13" s="31">
        <v>0</v>
      </c>
      <c r="J13" s="31" t="s">
        <v>231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232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233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1653.0129089041025</v>
      </c>
      <c r="I16" s="31">
        <v>0</v>
      </c>
      <c r="J16" s="31" t="s">
        <v>234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1182.7736697319526</v>
      </c>
      <c r="I17" s="31">
        <v>0</v>
      </c>
      <c r="J17" s="31" t="s">
        <v>235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1726.3024956347729</v>
      </c>
      <c r="I18" s="31">
        <v>0</v>
      </c>
      <c r="J18" s="31" t="s">
        <v>236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217.27059028145726</v>
      </c>
      <c r="I19" s="31">
        <v>0</v>
      </c>
      <c r="J19" s="31" t="s">
        <v>237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358.13811768387228</v>
      </c>
      <c r="I20" s="31">
        <v>0</v>
      </c>
      <c r="J20" s="31" t="s">
        <v>238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472.38795616390502</v>
      </c>
      <c r="I21" s="31">
        <v>0</v>
      </c>
      <c r="J21" s="31" t="s">
        <v>239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558.41118449859835</v>
      </c>
      <c r="I22" s="31">
        <v>0</v>
      </c>
      <c r="J22" s="31" t="s">
        <v>240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5.193618498618858</v>
      </c>
      <c r="I23" s="31">
        <v>0</v>
      </c>
      <c r="J23" s="31" t="s">
        <v>241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49.595034705001524</v>
      </c>
      <c r="I24" s="31">
        <v>0</v>
      </c>
      <c r="J24" s="31" t="s">
        <v>242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14.006634664877032</v>
      </c>
      <c r="I25" s="31">
        <v>0</v>
      </c>
      <c r="J25" s="31" t="s">
        <v>243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244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0.96745278201202001</v>
      </c>
      <c r="I27" s="31">
        <v>0</v>
      </c>
      <c r="J27" s="31" t="s">
        <v>245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8.895676975274494</v>
      </c>
      <c r="I28" s="31">
        <v>0</v>
      </c>
      <c r="J28" s="31" t="s">
        <v>246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1.5911642686464873</v>
      </c>
      <c r="I29" s="31">
        <v>0</v>
      </c>
      <c r="J29" s="31" t="s">
        <v>247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248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0.80203698186810568</v>
      </c>
      <c r="I31" s="31">
        <v>0</v>
      </c>
      <c r="J31" s="31" t="s">
        <v>249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0.84244629590802944</v>
      </c>
      <c r="I32" s="31">
        <v>0</v>
      </c>
      <c r="J32" s="31" t="s">
        <v>250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1979.633620276785</v>
      </c>
      <c r="I33" s="31">
        <v>0</v>
      </c>
      <c r="J33" s="31" t="s">
        <v>251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420.73263879322514</v>
      </c>
      <c r="I34" s="31">
        <v>0</v>
      </c>
      <c r="J34" s="31" t="s">
        <v>252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2248.4354366091711</v>
      </c>
      <c r="I35" s="31">
        <v>0</v>
      </c>
      <c r="J35" s="31" t="s">
        <v>253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376.62693609616639</v>
      </c>
      <c r="I36" s="31">
        <v>0</v>
      </c>
      <c r="J36" s="31" t="s">
        <v>254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59.566750491040942</v>
      </c>
      <c r="I37" s="31">
        <v>0</v>
      </c>
      <c r="J37" s="31" t="s">
        <v>255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73.289586730670408</v>
      </c>
      <c r="I38" s="31">
        <v>0</v>
      </c>
      <c r="J38" s="31" t="s">
        <v>256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3383.3283627519231</v>
      </c>
      <c r="I39" s="31">
        <v>0</v>
      </c>
      <c r="J39" s="31" t="s">
        <v>257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4621.0774468957752</v>
      </c>
      <c r="I40" s="31">
        <v>0</v>
      </c>
      <c r="J40" s="31" t="s">
        <v>258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202.65905094388188</v>
      </c>
      <c r="I41" s="31">
        <v>0</v>
      </c>
      <c r="J41" s="31" t="s">
        <v>259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510.04781067676237</v>
      </c>
      <c r="I42" s="31">
        <v>0</v>
      </c>
      <c r="J42" s="31" t="s">
        <v>260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424.18457053875591</v>
      </c>
      <c r="I43" s="31">
        <v>0</v>
      </c>
      <c r="J43" s="31" t="s">
        <v>261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736.79674057391276</v>
      </c>
      <c r="I44" s="31">
        <v>0</v>
      </c>
      <c r="J44" s="31" t="s">
        <v>262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46.557253534674892</v>
      </c>
      <c r="I45" s="31">
        <v>0</v>
      </c>
      <c r="J45" s="31" t="s">
        <v>263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231.92143255440783</v>
      </c>
      <c r="I46" s="31">
        <v>0</v>
      </c>
      <c r="J46" s="31" t="s">
        <v>264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265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149.53400262134264</v>
      </c>
      <c r="I48" s="31">
        <v>0</v>
      </c>
      <c r="J48" s="31" t="s">
        <v>266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695.42272185895331</v>
      </c>
      <c r="I49" s="31">
        <v>0</v>
      </c>
      <c r="J49" s="31" t="s">
        <v>267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950.69587210034842</v>
      </c>
      <c r="I50" s="31">
        <v>0</v>
      </c>
      <c r="J50" s="31" t="s">
        <v>268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131.24972573946249</v>
      </c>
      <c r="I51" s="31">
        <v>0</v>
      </c>
      <c r="J51" s="31" t="s">
        <v>269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48.761246477182816</v>
      </c>
      <c r="I52" s="31">
        <v>0</v>
      </c>
      <c r="J52" s="31" t="s">
        <v>270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18.762959090883722</v>
      </c>
      <c r="I53" s="31">
        <v>0</v>
      </c>
      <c r="J53" s="31" t="s">
        <v>271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476.68623708198032</v>
      </c>
      <c r="I54" s="31">
        <v>0</v>
      </c>
      <c r="J54" s="31" t="s">
        <v>272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54.885303037832216</v>
      </c>
      <c r="I55" s="31">
        <v>0</v>
      </c>
      <c r="J55" s="31" t="s">
        <v>273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915.02727688446305</v>
      </c>
      <c r="I56" s="31">
        <v>0</v>
      </c>
      <c r="J56" s="31" t="s">
        <v>274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275</v>
      </c>
    </row>
    <row r="58" spans="1:10" x14ac:dyDescent="0.2">
      <c r="A58" s="31" t="s">
        <v>276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277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278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278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278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278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278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278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278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278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278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278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279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279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279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279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279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279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279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279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279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279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280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280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280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280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280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280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280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280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280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280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281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281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281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281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281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281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281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281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281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281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282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282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282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282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282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282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282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282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282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282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1224.9963647336619</v>
      </c>
      <c r="I109" s="31">
        <v>0</v>
      </c>
      <c r="J109" s="31" t="s">
        <v>283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625.251574585659</v>
      </c>
      <c r="I110" s="31">
        <v>0</v>
      </c>
      <c r="J110" s="31" t="s">
        <v>284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154.99309286062214</v>
      </c>
      <c r="I111" s="31">
        <v>0</v>
      </c>
      <c r="J111" s="31" t="s">
        <v>285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0.51041096331873681</v>
      </c>
      <c r="I112" s="31">
        <v>0</v>
      </c>
      <c r="J112" s="31" t="s">
        <v>286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0.44760103755650144</v>
      </c>
      <c r="I113" s="31">
        <v>0</v>
      </c>
      <c r="J113" s="31" t="s">
        <v>287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-6.2809925762235375E-2</v>
      </c>
      <c r="I114" s="31">
        <v>0</v>
      </c>
      <c r="J114" s="31" t="s">
        <v>288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-109.48837363339376</v>
      </c>
      <c r="I115" s="31">
        <v>0</v>
      </c>
      <c r="J115" s="31" t="s">
        <v>289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264.48146649401588</v>
      </c>
      <c r="I116" s="31">
        <v>0</v>
      </c>
      <c r="J116" s="31" t="s">
        <v>290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1396.4219761388358</v>
      </c>
      <c r="I117" s="31">
        <v>0</v>
      </c>
      <c r="J117" s="31" t="s">
        <v>291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125.66578338326059</v>
      </c>
      <c r="I118" s="31">
        <v>0</v>
      </c>
      <c r="J118" s="31" t="s">
        <v>292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0.83356606407476985</v>
      </c>
      <c r="I119" s="31">
        <v>0</v>
      </c>
      <c r="J119" s="31" t="s">
        <v>293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59.043584820001556</v>
      </c>
      <c r="I120" s="31">
        <v>0</v>
      </c>
      <c r="J120" s="31" t="s">
        <v>294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49.216728607273524</v>
      </c>
      <c r="I121" s="31">
        <v>0</v>
      </c>
      <c r="J121" s="31" t="s">
        <v>295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83.983823522995124</v>
      </c>
      <c r="I122" s="31">
        <v>0</v>
      </c>
      <c r="J122" s="31" t="s">
        <v>296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59.043584820001556</v>
      </c>
      <c r="I123" s="31">
        <v>0</v>
      </c>
      <c r="J123" s="31" t="s">
        <v>297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49.216728607273524</v>
      </c>
      <c r="I124" s="31">
        <v>0</v>
      </c>
      <c r="J124" s="31" t="s">
        <v>298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-34.7670949157216</v>
      </c>
      <c r="I125" s="31">
        <v>0</v>
      </c>
      <c r="J125" s="31" t="s">
        <v>299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9472.4660330940642</v>
      </c>
      <c r="I126" s="31">
        <v>0</v>
      </c>
      <c r="J126" s="31" t="s">
        <v>300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448.99359121637173</v>
      </c>
      <c r="I127" s="31">
        <v>0</v>
      </c>
      <c r="J127" s="31" t="s">
        <v>301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49.377620877301297</v>
      </c>
      <c r="I128" s="31">
        <v>0</v>
      </c>
      <c r="J128" s="31" t="s">
        <v>302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4.7399862891850719E-2</v>
      </c>
      <c r="I129" s="31">
        <v>0</v>
      </c>
      <c r="J129" s="31" t="s">
        <v>303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4.337951921696942E-2</v>
      </c>
      <c r="I130" s="31">
        <v>0</v>
      </c>
      <c r="J130" s="31" t="s">
        <v>304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-4.0203436748812993E-3</v>
      </c>
      <c r="I131" s="31">
        <v>0</v>
      </c>
      <c r="J131" s="31" t="s">
        <v>305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-46.18823782398993</v>
      </c>
      <c r="I132" s="31">
        <v>0</v>
      </c>
      <c r="J132" s="31" t="s">
        <v>306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95.565858701291234</v>
      </c>
      <c r="I133" s="31">
        <v>0</v>
      </c>
      <c r="J133" s="31" t="s">
        <v>307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18.810075292197226</v>
      </c>
      <c r="I134" s="31">
        <v>0</v>
      </c>
      <c r="J134" s="31" t="s">
        <v>308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15.679440426266918</v>
      </c>
      <c r="I135" s="31">
        <v>0</v>
      </c>
      <c r="J135" s="31" t="s">
        <v>309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30.346119591613522</v>
      </c>
      <c r="I136" s="31">
        <v>0</v>
      </c>
      <c r="J136" s="31" t="s">
        <v>310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-14.666679165346604</v>
      </c>
      <c r="I137" s="31">
        <v>0</v>
      </c>
      <c r="J137" s="31" t="s">
        <v>311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312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86.023228334693329</v>
      </c>
      <c r="I139" s="31">
        <v>0</v>
      </c>
      <c r="J139" s="31" t="s">
        <v>313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104.75073244365714</v>
      </c>
      <c r="I140" s="31">
        <v>0</v>
      </c>
      <c r="J140" s="31" t="s">
        <v>314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1396.4219761388358</v>
      </c>
      <c r="I141" s="31">
        <v>0</v>
      </c>
      <c r="J141" s="31" t="s">
        <v>315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125.66578338326059</v>
      </c>
      <c r="I142" s="31">
        <v>0</v>
      </c>
      <c r="J142" s="31" t="s">
        <v>316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0.83356606407476985</v>
      </c>
      <c r="I143" s="31">
        <v>0</v>
      </c>
      <c r="J143" s="31" t="s">
        <v>317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256.51689313175405</v>
      </c>
      <c r="I144" s="31">
        <v>0</v>
      </c>
      <c r="J144" s="31" t="s">
        <v>318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38.711927613129205</v>
      </c>
      <c r="I145" s="31">
        <v>0</v>
      </c>
      <c r="J145" s="31" t="s">
        <v>319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32.268949133223515</v>
      </c>
      <c r="I146" s="31">
        <v>0</v>
      </c>
      <c r="J146" s="31" t="s">
        <v>320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6.1317589262839789</v>
      </c>
      <c r="I147" s="31">
        <v>0</v>
      </c>
      <c r="J147" s="31" t="s">
        <v>321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16.557044979439919</v>
      </c>
      <c r="I148" s="31">
        <v>0</v>
      </c>
      <c r="J148" s="31" t="s">
        <v>322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13.801390816220662</v>
      </c>
      <c r="I149" s="31">
        <v>0</v>
      </c>
      <c r="J149" s="31" t="s">
        <v>323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16.536699250512502</v>
      </c>
      <c r="I150" s="31">
        <v>0</v>
      </c>
      <c r="J150" s="31" t="s">
        <v>324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-6.2995452688882612</v>
      </c>
      <c r="I151" s="31">
        <v>0</v>
      </c>
      <c r="J151" s="31" t="s">
        <v>325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-5.2510871552480252</v>
      </c>
      <c r="I152" s="31">
        <v>0</v>
      </c>
      <c r="J152" s="31" t="s">
        <v>326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1.142206966768549</v>
      </c>
      <c r="I153" s="31">
        <v>0</v>
      </c>
      <c r="J153" s="31" t="s">
        <v>327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2.9536326790267351</v>
      </c>
      <c r="I154" s="31">
        <v>0</v>
      </c>
      <c r="J154" s="31" t="s">
        <v>328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2.4620479669789335</v>
      </c>
      <c r="I155" s="31">
        <v>0</v>
      </c>
      <c r="J155" s="31" t="s">
        <v>329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1.8785815149980316</v>
      </c>
      <c r="I156" s="31">
        <v>0</v>
      </c>
      <c r="J156" s="31" t="s">
        <v>330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-0.71563309677171683</v>
      </c>
      <c r="I157" s="31">
        <v>0</v>
      </c>
      <c r="J157" s="31" t="s">
        <v>331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-0.59652746379763888</v>
      </c>
      <c r="I158" s="31">
        <v>0</v>
      </c>
      <c r="J158" s="31" t="s">
        <v>332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-6.2157765393274662</v>
      </c>
      <c r="I159" s="31">
        <v>0</v>
      </c>
      <c r="J159" s="31" t="s">
        <v>333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-2.830209887260736</v>
      </c>
      <c r="I160" s="31">
        <v>0</v>
      </c>
      <c r="J160" s="31" t="s">
        <v>334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2400.3662590700101</v>
      </c>
      <c r="I161" s="31">
        <v>0</v>
      </c>
      <c r="J161" s="31" t="s">
        <v>335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2625.0623727053376</v>
      </c>
      <c r="I162" s="31">
        <v>0</v>
      </c>
      <c r="J162" s="31" t="s">
        <v>336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24.815692299440705</v>
      </c>
      <c r="I163" s="31">
        <v>0</v>
      </c>
      <c r="J163" s="31" t="s">
        <v>337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27.919179175594067</v>
      </c>
      <c r="I164" s="31">
        <v>0</v>
      </c>
      <c r="J164" s="31" t="s">
        <v>338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3.1034868761533616</v>
      </c>
      <c r="I165" s="31">
        <v>0</v>
      </c>
      <c r="J165" s="31" t="s">
        <v>339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3.3413108471989781E-4</v>
      </c>
      <c r="I166" s="31">
        <v>0</v>
      </c>
      <c r="J166" s="31" t="s">
        <v>340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3.2092429675864077E-4</v>
      </c>
      <c r="I167" s="31">
        <v>0</v>
      </c>
      <c r="J167" s="31" t="s">
        <v>341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-21.830990985117182</v>
      </c>
      <c r="I168" s="31">
        <v>0</v>
      </c>
      <c r="J168" s="31" t="s">
        <v>342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64.896169033540446</v>
      </c>
      <c r="I169" s="31">
        <v>0</v>
      </c>
      <c r="J169" s="31" t="s">
        <v>343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626.60733046908854</v>
      </c>
      <c r="I170" s="31">
        <v>0</v>
      </c>
      <c r="J170" s="31" t="s">
        <v>344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270.7817873930253</v>
      </c>
      <c r="I171" s="31">
        <v>0</v>
      </c>
      <c r="J171" s="31" t="s">
        <v>345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235.99031293879915</v>
      </c>
      <c r="I172" s="31">
        <v>0</v>
      </c>
      <c r="J172" s="31" t="s">
        <v>346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176.95438886022305</v>
      </c>
      <c r="I173" s="31">
        <v>0</v>
      </c>
      <c r="J173" s="31" t="s">
        <v>347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149.53400262134264</v>
      </c>
      <c r="I174" s="31">
        <v>0</v>
      </c>
      <c r="J174" s="31" t="s">
        <v>348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129.65665186626518</v>
      </c>
      <c r="I175" s="31">
        <v>0</v>
      </c>
      <c r="J175" s="31" t="s">
        <v>349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-106.19654982404566</v>
      </c>
      <c r="I176" s="31">
        <v>0</v>
      </c>
      <c r="J176" s="31" t="s">
        <v>350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454.53406284746103</v>
      </c>
      <c r="I177" s="31">
        <v>0</v>
      </c>
      <c r="J177" s="31" t="s">
        <v>351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850.22786065596529</v>
      </c>
      <c r="I178" s="31">
        <v>0</v>
      </c>
      <c r="J178" s="31" t="s">
        <v>352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2788.0898478281247</v>
      </c>
      <c r="I179" s="31">
        <v>0</v>
      </c>
      <c r="J179" s="31" t="s">
        <v>353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0.22474431050247723</v>
      </c>
      <c r="I180" s="31">
        <v>0</v>
      </c>
      <c r="J180" s="31" t="s">
        <v>354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9.7120897163324837E-2</v>
      </c>
      <c r="I181" s="31">
        <v>0</v>
      </c>
      <c r="J181" s="31" t="s">
        <v>355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8.4642291252784288E-2</v>
      </c>
      <c r="I182" s="31">
        <v>0</v>
      </c>
      <c r="J182" s="31" t="s">
        <v>356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6.3467964993333181E-2</v>
      </c>
      <c r="I183" s="31">
        <v>0</v>
      </c>
      <c r="J183" s="31" t="s">
        <v>357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5.3633136226878458E-2</v>
      </c>
      <c r="I184" s="31">
        <v>0</v>
      </c>
      <c r="J184" s="31" t="s">
        <v>358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4.6503756673145068E-2</v>
      </c>
      <c r="I185" s="31">
        <v>0</v>
      </c>
      <c r="J185" s="31" t="s">
        <v>359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-3.8089357093987121E-2</v>
      </c>
      <c r="I186" s="31">
        <v>0</v>
      </c>
      <c r="J186" s="31" t="s">
        <v>360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0.16302704993583167</v>
      </c>
      <c r="I187" s="31">
        <v>0</v>
      </c>
      <c r="J187" s="31" t="s">
        <v>361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0.30494995034621231</v>
      </c>
      <c r="I188" s="31">
        <v>0</v>
      </c>
      <c r="J188" s="31" t="s">
        <v>362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14.585044763695262</v>
      </c>
      <c r="I189" s="31">
        <v>0</v>
      </c>
      <c r="J189" s="31" t="s">
        <v>363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6.3027741590002275</v>
      </c>
      <c r="I190" s="31">
        <v>0</v>
      </c>
      <c r="J190" s="31" t="s">
        <v>364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5.4929604405268506</v>
      </c>
      <c r="I191" s="31">
        <v>0</v>
      </c>
      <c r="J191" s="31" t="s">
        <v>365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4.1188277844221775</v>
      </c>
      <c r="I192" s="31">
        <v>0</v>
      </c>
      <c r="J192" s="31" t="s">
        <v>366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3.4805850743784061</v>
      </c>
      <c r="I193" s="31">
        <v>0</v>
      </c>
      <c r="J193" s="31" t="s">
        <v>367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3.0179156537550567</v>
      </c>
      <c r="I194" s="31">
        <v>0</v>
      </c>
      <c r="J194" s="31" t="s">
        <v>368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-2.4718533563502709</v>
      </c>
      <c r="I195" s="31">
        <v>0</v>
      </c>
      <c r="J195" s="31" t="s">
        <v>369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10.579830989675171</v>
      </c>
      <c r="I196" s="31">
        <v>0</v>
      </c>
      <c r="J196" s="31" t="s">
        <v>370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19.790083524437559</v>
      </c>
      <c r="I197" s="31">
        <v>0</v>
      </c>
      <c r="J197" s="31" t="s">
        <v>371</v>
      </c>
    </row>
  </sheetData>
  <pageMargins left="0.7" right="0.7" top="0.75" bottom="0.75" header="0.3" footer="0.3"/>
  <pageSetup paperSize="9" orientation="portrait" r:id="rId1"/>
  <customProperties>
    <customPr name="MMSheetType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tabSelected="1" workbookViewId="0">
      <selection activeCell="B3" sqref="B3"/>
    </sheetView>
  </sheetViews>
  <sheetFormatPr defaultColWidth="0" defaultRowHeight="13.75" customHeight="1" zeroHeight="1" x14ac:dyDescent="0.2"/>
  <cols>
    <col min="1" max="1" width="12.6640625" style="40" bestFit="1" customWidth="1"/>
    <col min="2" max="2" width="83.6640625" style="40" bestFit="1" customWidth="1"/>
    <col min="3" max="3" width="17" style="40" customWidth="1"/>
    <col min="4" max="10" width="11.6640625" style="40" customWidth="1"/>
    <col min="11" max="14" width="11.6640625" style="40" hidden="1" customWidth="1"/>
    <col min="15" max="16384" width="11.6640625" style="40" hidden="1"/>
  </cols>
  <sheetData>
    <row r="1" spans="1:10" ht="31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" x14ac:dyDescent="0.2"/>
    <row r="3" spans="1:10" s="65" customFormat="1" ht="23.5" x14ac:dyDescent="0.2">
      <c r="B3" s="61" t="s">
        <v>2</v>
      </c>
    </row>
    <row r="4" spans="1:10" ht="13" x14ac:dyDescent="0.2"/>
    <row r="5" spans="1:10" ht="13" x14ac:dyDescent="0.2">
      <c r="B5" s="40" t="s">
        <v>3</v>
      </c>
      <c r="C5" s="59">
        <v>1</v>
      </c>
    </row>
    <row r="6" spans="1:10" ht="13" x14ac:dyDescent="0.2">
      <c r="B6" s="40" t="s">
        <v>4</v>
      </c>
      <c r="C6" s="59" t="s">
        <v>5</v>
      </c>
    </row>
    <row r="7" spans="1:10" ht="13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ANH06 Bill waterfall model.xlsx</v>
      </c>
    </row>
    <row r="8" spans="1:10" ht="13" x14ac:dyDescent="0.2">
      <c r="B8" s="40" t="s">
        <v>7</v>
      </c>
      <c r="C8" s="104">
        <v>45121</v>
      </c>
    </row>
    <row r="9" spans="1:10" ht="13" x14ac:dyDescent="0.2"/>
    <row r="10" spans="1:10" ht="13" x14ac:dyDescent="0.2">
      <c r="B10" s="40" t="s">
        <v>8</v>
      </c>
      <c r="C10" s="57" t="s">
        <v>9</v>
      </c>
    </row>
    <row r="11" spans="1:10" ht="13" x14ac:dyDescent="0.2"/>
    <row r="12" spans="1:10" ht="13" x14ac:dyDescent="0.2"/>
    <row r="13" spans="1:10" ht="13" x14ac:dyDescent="0.2"/>
    <row r="14" spans="1:10" ht="13" x14ac:dyDescent="0.2"/>
    <row r="15" spans="1:10" ht="13" x14ac:dyDescent="0.2"/>
    <row r="16" spans="1:10" ht="13" x14ac:dyDescent="0.2"/>
    <row r="17" ht="13" x14ac:dyDescent="0.2"/>
    <row r="18" ht="13" x14ac:dyDescent="0.2"/>
    <row r="19" ht="13" x14ac:dyDescent="0.2"/>
    <row r="20" ht="13" x14ac:dyDescent="0.2"/>
    <row r="21" ht="13" x14ac:dyDescent="0.2"/>
    <row r="22" ht="13" x14ac:dyDescent="0.2"/>
    <row r="23" ht="13" x14ac:dyDescent="0.2"/>
    <row r="24" ht="13" x14ac:dyDescent="0.2"/>
    <row r="25" ht="13" x14ac:dyDescent="0.2"/>
    <row r="26" ht="13" x14ac:dyDescent="0.2"/>
    <row r="27" ht="13" x14ac:dyDescent="0.2"/>
    <row r="28" ht="13" x14ac:dyDescent="0.2"/>
    <row r="29" ht="13" x14ac:dyDescent="0.2"/>
    <row r="30" ht="13" x14ac:dyDescent="0.2"/>
    <row r="31" ht="13" x14ac:dyDescent="0.2"/>
    <row r="32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.75" customHeight="1" x14ac:dyDescent="0.2"/>
    <row r="39" ht="13.75" customHeight="1" x14ac:dyDescent="0.2"/>
    <row r="40" ht="13.75" customHeight="1" x14ac:dyDescent="0.2"/>
    <row r="47" ht="13.75" customHeight="1" x14ac:dyDescent="0.2"/>
    <row r="48" ht="13.75" customHeight="1" x14ac:dyDescent="0.2"/>
    <row r="49" ht="13.75" customHeight="1" x14ac:dyDescent="0.2"/>
    <row r="50" ht="13.75" customHeight="1" x14ac:dyDescent="0.2"/>
    <row r="51" ht="13.75" customHeight="1" x14ac:dyDescent="0.2"/>
    <row r="52" ht="13.75" customHeight="1" x14ac:dyDescent="0.2"/>
    <row r="53" ht="13.75" customHeight="1" x14ac:dyDescent="0.2"/>
    <row r="54" ht="13.75" customHeight="1" x14ac:dyDescent="0.2"/>
    <row r="55" ht="13.75" customHeight="1" x14ac:dyDescent="0.2"/>
    <row r="56" ht="13.75" customHeight="1" x14ac:dyDescent="0.2"/>
    <row r="57" ht="13.75" customHeight="1" x14ac:dyDescent="0.2"/>
    <row r="58" ht="13.75" customHeight="1" x14ac:dyDescent="0.2"/>
    <row r="59" ht="13.75" customHeight="1" x14ac:dyDescent="0.2"/>
    <row r="60" ht="13.75" customHeight="1" x14ac:dyDescent="0.2"/>
    <row r="61" ht="13.75" customHeight="1" x14ac:dyDescent="0.2"/>
    <row r="62" ht="13.75" customHeight="1" x14ac:dyDescent="0.2"/>
    <row r="63" ht="13.75" customHeight="1" x14ac:dyDescent="0.2"/>
    <row r="70" ht="13.75" customHeight="1" x14ac:dyDescent="0.2"/>
    <row r="71" ht="13.75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workbookViewId="0"/>
  </sheetViews>
  <sheetFormatPr defaultColWidth="0" defaultRowHeight="13" x14ac:dyDescent="0.2"/>
  <cols>
    <col min="1" max="1" width="36.6640625" style="70" customWidth="1"/>
    <col min="2" max="2" width="28.109375" style="70" customWidth="1"/>
    <col min="3" max="3" width="23.109375" style="70" customWidth="1"/>
    <col min="4" max="4" width="9.33203125" style="70" customWidth="1"/>
    <col min="5" max="26" width="9.33203125" style="70" hidden="1" customWidth="1"/>
    <col min="27" max="55" width="9.109375" style="70" hidden="1" customWidth="1"/>
    <col min="56" max="56" width="9.33203125" style="70" hidden="1" customWidth="1"/>
    <col min="57" max="16384" width="9.33203125" style="70" hidden="1"/>
  </cols>
  <sheetData>
    <row r="1" spans="1:101" s="67" customFormat="1" ht="19.5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5" x14ac:dyDescent="0.2"/>
    <row r="3" spans="1:101" s="31" customFormat="1" ht="10.5" x14ac:dyDescent="0.2"/>
    <row r="4" spans="1:101" s="31" customFormat="1" ht="10.5" x14ac:dyDescent="0.2"/>
    <row r="5" spans="1:101" s="31" customFormat="1" ht="18.5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5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.5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116"/>
  <sheetViews>
    <sheetView showGridLines="0" zoomScale="85" zoomScaleNormal="85" workbookViewId="0">
      <pane xSplit="9" ySplit="5" topLeftCell="J6" activePane="bottomRight" state="frozen"/>
      <selection pane="topRight"/>
      <selection pane="bottomLeft"/>
      <selection pane="bottomRight" activeCell="M19" sqref="M19"/>
    </sheetView>
  </sheetViews>
  <sheetFormatPr defaultColWidth="0" defaultRowHeight="13" outlineLevelRow="1" x14ac:dyDescent="0.2"/>
  <cols>
    <col min="1" max="2" width="1.44140625" style="40" customWidth="1"/>
    <col min="3" max="4" width="1.44140625" style="70" customWidth="1"/>
    <col min="5" max="5" width="52.6640625" style="70" bestFit="1" customWidth="1"/>
    <col min="6" max="6" width="18.6640625" style="70" bestFit="1" customWidth="1"/>
    <col min="7" max="7" width="17" style="70" bestFit="1" customWidth="1"/>
    <col min="8" max="8" width="14.44140625" style="70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06"/>
      <c r="B2" s="106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06"/>
      <c r="B3" s="106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06"/>
      <c r="B4" s="106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06"/>
      <c r="B5" s="106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107"/>
      <c r="B6" s="107"/>
      <c r="C6" s="24"/>
      <c r="D6" s="45"/>
    </row>
    <row r="7" spans="1:19" x14ac:dyDescent="0.2">
      <c r="A7" s="70"/>
      <c r="B7" s="70"/>
      <c r="F7" s="40"/>
    </row>
    <row r="8" spans="1:19" x14ac:dyDescent="0.2">
      <c r="A8" s="108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2" spans="1:19" x14ac:dyDescent="0.2">
      <c r="H12" s="40"/>
      <c r="I12" s="40"/>
      <c r="J12" s="112"/>
      <c r="K12" s="40"/>
    </row>
    <row r="13" spans="1:19" x14ac:dyDescent="0.2">
      <c r="A13" s="108" t="s">
        <v>27</v>
      </c>
      <c r="H13" s="40"/>
      <c r="I13" s="40"/>
      <c r="J13" s="113"/>
      <c r="K13" s="40"/>
    </row>
    <row r="14" spans="1:19" outlineLevel="1" x14ac:dyDescent="0.2">
      <c r="H14" s="40"/>
      <c r="I14" s="40"/>
      <c r="J14" s="114"/>
      <c r="K14" s="40"/>
    </row>
    <row r="15" spans="1:19" outlineLevel="1" x14ac:dyDescent="0.2">
      <c r="C15" s="40"/>
      <c r="D15" s="40"/>
      <c r="E15" s="86" t="s">
        <v>28</v>
      </c>
      <c r="F15" s="99">
        <v>1037.5756544096971</v>
      </c>
      <c r="G15" s="70" t="s">
        <v>29</v>
      </c>
      <c r="H15" s="40"/>
      <c r="I15" s="40"/>
      <c r="J15" s="115"/>
      <c r="K15" s="40"/>
    </row>
    <row r="16" spans="1:19" outlineLevel="1" x14ac:dyDescent="0.2">
      <c r="C16" s="40"/>
      <c r="E16" s="86" t="s">
        <v>30</v>
      </c>
      <c r="F16" s="99">
        <v>1743.169925846719</v>
      </c>
      <c r="G16" s="70" t="s">
        <v>29</v>
      </c>
      <c r="H16" s="40"/>
      <c r="I16" s="40"/>
      <c r="J16" s="116"/>
      <c r="K16" s="40"/>
    </row>
    <row r="17" spans="1:11" outlineLevel="1" x14ac:dyDescent="0.2">
      <c r="C17" s="40"/>
      <c r="E17" s="86" t="s">
        <v>31</v>
      </c>
      <c r="F17" s="99">
        <v>529.58998928332221</v>
      </c>
      <c r="G17" s="70" t="s">
        <v>29</v>
      </c>
      <c r="H17" s="40"/>
      <c r="I17" s="40"/>
      <c r="J17" s="115"/>
      <c r="K17" s="40"/>
    </row>
    <row r="18" spans="1:11" outlineLevel="1" x14ac:dyDescent="0.2">
      <c r="C18" s="40"/>
      <c r="E18" s="86" t="s">
        <v>32</v>
      </c>
      <c r="F18" s="99">
        <v>780.24466744628114</v>
      </c>
      <c r="G18" s="70" t="s">
        <v>29</v>
      </c>
      <c r="H18" s="40"/>
      <c r="I18" s="40"/>
      <c r="J18" s="116"/>
      <c r="K18" s="40"/>
    </row>
    <row r="19" spans="1:11" outlineLevel="1" x14ac:dyDescent="0.2">
      <c r="C19" s="40"/>
      <c r="D19" s="40"/>
      <c r="E19" s="86" t="s">
        <v>33</v>
      </c>
      <c r="F19" s="99">
        <v>1182.7736697319526</v>
      </c>
      <c r="G19" s="70" t="s">
        <v>29</v>
      </c>
      <c r="H19" s="40"/>
      <c r="I19" s="40"/>
      <c r="J19" s="115"/>
      <c r="K19" s="40"/>
    </row>
    <row r="20" spans="1:11" outlineLevel="1" x14ac:dyDescent="0.2">
      <c r="C20" s="40"/>
      <c r="E20" s="86" t="s">
        <v>34</v>
      </c>
      <c r="F20" s="99">
        <v>1726.3024956347729</v>
      </c>
      <c r="G20" s="70" t="s">
        <v>29</v>
      </c>
      <c r="H20" s="40"/>
      <c r="I20" s="40"/>
      <c r="J20" s="115"/>
      <c r="K20" s="40"/>
    </row>
    <row r="21" spans="1:11" x14ac:dyDescent="0.2">
      <c r="C21" s="40"/>
      <c r="D21" s="40"/>
      <c r="H21" s="40"/>
      <c r="I21" s="40"/>
      <c r="J21" s="116"/>
      <c r="K21" s="40"/>
    </row>
    <row r="22" spans="1:11" x14ac:dyDescent="0.2">
      <c r="A22" s="108" t="s">
        <v>35</v>
      </c>
      <c r="C22" s="40"/>
      <c r="D22" s="40"/>
      <c r="H22" s="40"/>
      <c r="I22" s="40"/>
      <c r="J22" s="116"/>
      <c r="K22" s="40"/>
    </row>
    <row r="23" spans="1:11" outlineLevel="1" x14ac:dyDescent="0.2">
      <c r="C23" s="40"/>
      <c r="D23" s="40"/>
      <c r="H23" s="40"/>
      <c r="I23" s="40"/>
      <c r="J23" s="116"/>
      <c r="K23" s="40"/>
    </row>
    <row r="24" spans="1:11" outlineLevel="1" x14ac:dyDescent="0.2">
      <c r="C24" s="40"/>
      <c r="D24" s="40"/>
      <c r="E24" s="86" t="s">
        <v>36</v>
      </c>
      <c r="F24" s="99">
        <v>380.29894017961021</v>
      </c>
      <c r="G24" s="70" t="s">
        <v>29</v>
      </c>
      <c r="H24" s="40"/>
      <c r="I24" s="40"/>
      <c r="J24" s="115"/>
      <c r="K24" s="40"/>
    </row>
    <row r="25" spans="1:11" outlineLevel="1" x14ac:dyDescent="0.2">
      <c r="C25" s="40"/>
      <c r="E25" s="86" t="s">
        <v>37</v>
      </c>
      <c r="F25" s="99">
        <v>498.37121209367302</v>
      </c>
      <c r="G25" s="70" t="s">
        <v>29</v>
      </c>
      <c r="H25" s="40"/>
      <c r="I25" s="40"/>
      <c r="J25" s="116"/>
      <c r="K25" s="40"/>
    </row>
    <row r="26" spans="1:11" outlineLevel="1" x14ac:dyDescent="0.2">
      <c r="C26" s="40"/>
      <c r="D26" s="40"/>
      <c r="E26" s="86" t="s">
        <v>38</v>
      </c>
      <c r="F26" s="99">
        <v>8023.2075997205802</v>
      </c>
      <c r="G26" s="70" t="s">
        <v>29</v>
      </c>
      <c r="H26" s="40"/>
      <c r="I26" s="40"/>
      <c r="J26" s="115"/>
      <c r="K26" s="40"/>
    </row>
    <row r="27" spans="1:11" outlineLevel="1" x14ac:dyDescent="0.2">
      <c r="C27" s="40"/>
      <c r="D27" s="40"/>
      <c r="E27" s="86" t="s">
        <v>39</v>
      </c>
      <c r="F27" s="99">
        <v>11488.629221568635</v>
      </c>
      <c r="G27" s="70" t="s">
        <v>29</v>
      </c>
      <c r="H27" s="40"/>
      <c r="I27" s="40"/>
      <c r="J27" s="116"/>
      <c r="K27" s="40"/>
    </row>
    <row r="28" spans="1:11" x14ac:dyDescent="0.2">
      <c r="C28" s="40"/>
      <c r="H28" s="40"/>
      <c r="I28" s="40"/>
      <c r="J28" s="116"/>
      <c r="K28" s="40"/>
    </row>
    <row r="29" spans="1:11" x14ac:dyDescent="0.2">
      <c r="A29" s="108" t="s">
        <v>40</v>
      </c>
      <c r="C29" s="40"/>
      <c r="H29" s="40"/>
      <c r="I29" s="40"/>
      <c r="J29" s="116"/>
      <c r="K29" s="40"/>
    </row>
    <row r="30" spans="1:11" outlineLevel="1" x14ac:dyDescent="0.2">
      <c r="C30" s="40"/>
      <c r="D30" s="40"/>
      <c r="H30" s="40"/>
      <c r="I30" s="40"/>
      <c r="J30" s="116"/>
      <c r="K30" s="111"/>
    </row>
    <row r="31" spans="1:11" outlineLevel="1" x14ac:dyDescent="0.2">
      <c r="C31" s="40"/>
      <c r="D31" s="40"/>
      <c r="E31" s="100" t="s">
        <v>41</v>
      </c>
      <c r="F31" s="101">
        <v>104.21666666666665</v>
      </c>
      <c r="G31" s="70" t="s">
        <v>42</v>
      </c>
      <c r="H31" s="40"/>
      <c r="I31" s="40"/>
      <c r="J31" s="116"/>
      <c r="K31" s="40"/>
    </row>
    <row r="32" spans="1:11" outlineLevel="1" x14ac:dyDescent="0.2">
      <c r="C32" s="40"/>
      <c r="D32" s="40"/>
      <c r="E32" s="100" t="s">
        <v>43</v>
      </c>
      <c r="F32" s="101">
        <v>123.04166666666664</v>
      </c>
      <c r="G32" s="70" t="s">
        <v>42</v>
      </c>
      <c r="H32" s="40"/>
      <c r="I32" s="40"/>
      <c r="J32" s="116"/>
      <c r="K32" s="40"/>
    </row>
    <row r="33" spans="1:11" outlineLevel="1" x14ac:dyDescent="0.2">
      <c r="C33" s="40"/>
      <c r="E33" s="86" t="s">
        <v>44</v>
      </c>
      <c r="F33" s="99">
        <v>1653.0129089041025</v>
      </c>
      <c r="G33" s="70" t="s">
        <v>29</v>
      </c>
      <c r="H33" s="40"/>
      <c r="I33" s="40"/>
      <c r="J33" s="40"/>
      <c r="K33" s="40"/>
    </row>
    <row r="34" spans="1:11" outlineLevel="1" x14ac:dyDescent="0.2">
      <c r="C34" s="40"/>
      <c r="D34" s="40"/>
      <c r="E34" s="86" t="s">
        <v>45</v>
      </c>
      <c r="F34" s="99">
        <v>1182.7736697319526</v>
      </c>
      <c r="G34" s="70" t="s">
        <v>29</v>
      </c>
      <c r="H34" s="40"/>
      <c r="I34" s="40"/>
      <c r="J34" s="115"/>
      <c r="K34" s="40"/>
    </row>
    <row r="35" spans="1:11" outlineLevel="1" x14ac:dyDescent="0.2">
      <c r="C35" s="40"/>
      <c r="E35" s="86" t="s">
        <v>46</v>
      </c>
      <c r="F35" s="99">
        <v>1726.3024956347729</v>
      </c>
      <c r="G35" s="70" t="s">
        <v>29</v>
      </c>
      <c r="H35" s="40"/>
      <c r="I35" s="40"/>
      <c r="J35" s="116"/>
      <c r="K35" s="40"/>
    </row>
    <row r="36" spans="1:11" outlineLevel="1" x14ac:dyDescent="0.2">
      <c r="C36" s="40"/>
      <c r="E36" s="86" t="s">
        <v>47</v>
      </c>
      <c r="F36" s="99">
        <v>217.27059028145726</v>
      </c>
      <c r="G36" s="70" t="s">
        <v>29</v>
      </c>
      <c r="H36" s="40"/>
      <c r="I36" s="40"/>
      <c r="J36" s="115"/>
      <c r="K36" s="40"/>
    </row>
    <row r="37" spans="1:11" outlineLevel="1" x14ac:dyDescent="0.2">
      <c r="C37" s="40"/>
      <c r="E37" s="86" t="s">
        <v>48</v>
      </c>
      <c r="F37" s="99">
        <v>358.13811768387228</v>
      </c>
      <c r="G37" s="70" t="s">
        <v>29</v>
      </c>
      <c r="H37" s="40"/>
      <c r="I37" s="40"/>
      <c r="J37" s="116"/>
      <c r="K37" s="40"/>
    </row>
    <row r="38" spans="1:11" outlineLevel="1" x14ac:dyDescent="0.2">
      <c r="C38" s="40"/>
      <c r="D38" s="40"/>
      <c r="E38" s="86" t="s">
        <v>49</v>
      </c>
      <c r="F38" s="99">
        <v>472.38795616390502</v>
      </c>
      <c r="G38" s="70" t="s">
        <v>50</v>
      </c>
      <c r="H38" s="40"/>
      <c r="I38" s="40"/>
      <c r="J38" s="117"/>
      <c r="K38" s="40"/>
    </row>
    <row r="39" spans="1:11" outlineLevel="1" x14ac:dyDescent="0.2">
      <c r="C39" s="40"/>
      <c r="E39" s="86" t="s">
        <v>51</v>
      </c>
      <c r="F39" s="99">
        <v>558.41118449859835</v>
      </c>
      <c r="G39" s="70" t="s">
        <v>50</v>
      </c>
      <c r="H39" s="40"/>
      <c r="I39" s="40"/>
      <c r="J39" s="116"/>
      <c r="K39" s="40"/>
    </row>
    <row r="40" spans="1:11" x14ac:dyDescent="0.2">
      <c r="C40" s="40"/>
      <c r="D40" s="40"/>
      <c r="E40" s="40"/>
      <c r="H40" s="40"/>
      <c r="I40" s="40"/>
      <c r="J40" s="116"/>
      <c r="K40" s="40"/>
    </row>
    <row r="41" spans="1:11" x14ac:dyDescent="0.2">
      <c r="A41" s="108" t="s">
        <v>52</v>
      </c>
      <c r="C41" s="40"/>
      <c r="D41" s="40"/>
      <c r="E41" s="40"/>
      <c r="H41" s="40"/>
      <c r="I41" s="40"/>
      <c r="J41" s="116"/>
      <c r="K41" s="40"/>
    </row>
    <row r="42" spans="1:11" outlineLevel="1" x14ac:dyDescent="0.2">
      <c r="C42" s="40"/>
      <c r="D42" s="40"/>
      <c r="E42" s="40"/>
      <c r="H42" s="40"/>
      <c r="I42" s="40"/>
      <c r="J42" s="116"/>
      <c r="K42" s="40"/>
    </row>
    <row r="43" spans="1:11" outlineLevel="1" x14ac:dyDescent="0.2">
      <c r="C43" s="40"/>
      <c r="D43" s="40"/>
      <c r="E43" s="110" t="s">
        <v>53</v>
      </c>
      <c r="F43" s="99">
        <v>5.193618498618858</v>
      </c>
      <c r="G43" s="70" t="s">
        <v>29</v>
      </c>
      <c r="H43" s="40"/>
      <c r="I43" s="40"/>
      <c r="J43" s="115"/>
      <c r="K43" s="40"/>
    </row>
    <row r="44" spans="1:11" outlineLevel="1" x14ac:dyDescent="0.2">
      <c r="C44" s="40"/>
      <c r="D44" s="40"/>
      <c r="E44" s="86" t="s">
        <v>54</v>
      </c>
      <c r="F44" s="99">
        <v>49.595034705001524</v>
      </c>
      <c r="G44" s="70" t="s">
        <v>29</v>
      </c>
      <c r="H44" s="40"/>
      <c r="I44" s="40"/>
      <c r="J44" s="116"/>
      <c r="K44" s="40"/>
    </row>
    <row r="45" spans="1:11" x14ac:dyDescent="0.2">
      <c r="C45" s="40"/>
      <c r="D45" s="40"/>
      <c r="H45" s="40"/>
      <c r="I45" s="40"/>
      <c r="J45" s="116"/>
      <c r="K45" s="40"/>
    </row>
    <row r="46" spans="1:11" x14ac:dyDescent="0.2">
      <c r="A46" s="108" t="s">
        <v>55</v>
      </c>
      <c r="C46" s="40"/>
      <c r="D46" s="40"/>
      <c r="H46" s="40"/>
      <c r="I46" s="40"/>
      <c r="J46" s="116"/>
      <c r="K46" s="40"/>
    </row>
    <row r="47" spans="1:11" outlineLevel="1" x14ac:dyDescent="0.2">
      <c r="C47" s="40"/>
      <c r="D47" s="40"/>
      <c r="H47" s="40"/>
      <c r="I47" s="40"/>
      <c r="J47" s="116"/>
      <c r="K47" s="40"/>
    </row>
    <row r="48" spans="1:11" outlineLevel="1" x14ac:dyDescent="0.2">
      <c r="C48" s="40"/>
      <c r="D48" s="40"/>
      <c r="E48" s="86" t="s">
        <v>56</v>
      </c>
      <c r="F48" s="99">
        <v>14.006634664877032</v>
      </c>
      <c r="G48" s="70" t="s">
        <v>29</v>
      </c>
      <c r="H48" s="40"/>
      <c r="I48" s="40"/>
      <c r="J48" s="115"/>
      <c r="K48" s="40"/>
    </row>
    <row r="49" spans="1:11" outlineLevel="1" x14ac:dyDescent="0.2">
      <c r="C49" s="40"/>
      <c r="E49" s="86" t="s">
        <v>57</v>
      </c>
      <c r="F49" s="99">
        <v>0</v>
      </c>
      <c r="G49" s="70" t="s">
        <v>29</v>
      </c>
      <c r="H49" s="40"/>
      <c r="I49" s="40"/>
      <c r="J49" s="115"/>
      <c r="K49" s="40"/>
    </row>
    <row r="50" spans="1:11" outlineLevel="1" x14ac:dyDescent="0.2">
      <c r="C50" s="40"/>
      <c r="D50" s="40"/>
      <c r="E50" s="110" t="s">
        <v>58</v>
      </c>
      <c r="F50" s="99">
        <v>0.96745278201202001</v>
      </c>
      <c r="G50" s="70" t="s">
        <v>29</v>
      </c>
      <c r="H50" s="40"/>
      <c r="I50" s="40"/>
      <c r="J50" s="115"/>
      <c r="K50" s="40"/>
    </row>
    <row r="51" spans="1:11" outlineLevel="1" x14ac:dyDescent="0.2">
      <c r="C51" s="40"/>
      <c r="D51" s="40"/>
      <c r="E51" s="86" t="s">
        <v>59</v>
      </c>
      <c r="F51" s="99">
        <v>8.895676975274494</v>
      </c>
      <c r="G51" s="70" t="s">
        <v>29</v>
      </c>
      <c r="H51" s="40"/>
      <c r="I51" s="40"/>
      <c r="J51" s="116"/>
      <c r="K51" s="40"/>
    </row>
    <row r="52" spans="1:11" outlineLevel="1" x14ac:dyDescent="0.2">
      <c r="C52" s="40"/>
      <c r="D52" s="40"/>
      <c r="E52" s="110" t="s">
        <v>60</v>
      </c>
      <c r="F52" s="99">
        <v>1.5911642686464873</v>
      </c>
      <c r="G52" s="70" t="s">
        <v>29</v>
      </c>
      <c r="H52" s="114"/>
      <c r="I52" s="40"/>
      <c r="J52" s="117"/>
      <c r="K52" s="40"/>
    </row>
    <row r="53" spans="1:11" outlineLevel="1" x14ac:dyDescent="0.2">
      <c r="C53" s="40"/>
      <c r="D53" s="40"/>
      <c r="E53" s="86" t="s">
        <v>61</v>
      </c>
      <c r="F53" s="99">
        <v>0</v>
      </c>
      <c r="G53" s="70" t="s">
        <v>29</v>
      </c>
      <c r="H53" s="40"/>
      <c r="I53" s="40"/>
      <c r="J53" s="116"/>
      <c r="K53" s="40"/>
    </row>
    <row r="54" spans="1:11" x14ac:dyDescent="0.2">
      <c r="C54" s="40"/>
      <c r="H54" s="40"/>
      <c r="I54" s="40"/>
      <c r="J54" s="116"/>
      <c r="K54" s="40"/>
    </row>
    <row r="55" spans="1:11" x14ac:dyDescent="0.2">
      <c r="A55" s="108" t="s">
        <v>62</v>
      </c>
      <c r="C55" s="40"/>
      <c r="H55" s="40"/>
      <c r="I55" s="40"/>
      <c r="J55" s="116"/>
      <c r="K55" s="40"/>
    </row>
    <row r="56" spans="1:11" outlineLevel="1" x14ac:dyDescent="0.2">
      <c r="C56" s="40"/>
      <c r="H56" s="40"/>
      <c r="I56" s="40"/>
      <c r="J56" s="116"/>
      <c r="K56" s="40"/>
    </row>
    <row r="57" spans="1:11" outlineLevel="1" x14ac:dyDescent="0.2">
      <c r="C57" s="40"/>
      <c r="D57" s="40"/>
      <c r="E57" s="102" t="s">
        <v>63</v>
      </c>
      <c r="F57" s="103">
        <v>0.80203698186810568</v>
      </c>
      <c r="G57" s="70" t="s">
        <v>64</v>
      </c>
      <c r="H57" s="40"/>
      <c r="I57" s="40"/>
      <c r="J57" s="115"/>
      <c r="K57" s="40"/>
    </row>
    <row r="58" spans="1:11" outlineLevel="1" x14ac:dyDescent="0.2">
      <c r="C58" s="40"/>
      <c r="E58" s="102" t="s">
        <v>65</v>
      </c>
      <c r="F58" s="103">
        <v>0.84244629590802944</v>
      </c>
      <c r="G58" s="70" t="s">
        <v>64</v>
      </c>
      <c r="H58" s="40"/>
      <c r="I58" s="40"/>
      <c r="J58" s="116"/>
      <c r="K58" s="40"/>
    </row>
    <row r="59" spans="1:11" outlineLevel="1" x14ac:dyDescent="0.2">
      <c r="C59" s="40"/>
      <c r="D59" s="40"/>
      <c r="E59" s="70" t="s">
        <v>66</v>
      </c>
      <c r="F59" s="98">
        <v>1979.633620276785</v>
      </c>
      <c r="G59" s="70" t="s">
        <v>67</v>
      </c>
      <c r="H59" s="40"/>
      <c r="I59" s="40"/>
      <c r="J59" s="117"/>
      <c r="K59" s="40"/>
    </row>
    <row r="60" spans="1:11" outlineLevel="1" x14ac:dyDescent="0.2">
      <c r="C60" s="40"/>
      <c r="D60" s="40"/>
      <c r="E60" s="70" t="s">
        <v>68</v>
      </c>
      <c r="F60" s="98">
        <v>420.73263879322514</v>
      </c>
      <c r="G60" s="70" t="s">
        <v>67</v>
      </c>
      <c r="H60" s="40"/>
      <c r="I60" s="40"/>
      <c r="J60" s="115"/>
      <c r="K60" s="40"/>
    </row>
    <row r="61" spans="1:11" outlineLevel="1" x14ac:dyDescent="0.2">
      <c r="C61" s="40"/>
      <c r="E61" s="70" t="s">
        <v>69</v>
      </c>
      <c r="F61" s="98">
        <v>2248.4354366091711</v>
      </c>
      <c r="G61" s="70" t="s">
        <v>67</v>
      </c>
      <c r="H61" s="40"/>
      <c r="I61" s="40"/>
      <c r="J61" s="116"/>
      <c r="K61" s="40"/>
    </row>
    <row r="62" spans="1:11" outlineLevel="1" x14ac:dyDescent="0.2">
      <c r="C62" s="40"/>
      <c r="E62" s="70" t="s">
        <v>70</v>
      </c>
      <c r="F62" s="98">
        <v>376.62693609616639</v>
      </c>
      <c r="G62" s="70" t="s">
        <v>67</v>
      </c>
      <c r="H62" s="40"/>
      <c r="I62" s="40"/>
      <c r="J62" s="116"/>
      <c r="K62" s="40"/>
    </row>
    <row r="63" spans="1:11" x14ac:dyDescent="0.2">
      <c r="C63" s="40"/>
      <c r="H63" s="40"/>
      <c r="I63" s="40"/>
      <c r="J63" s="116"/>
      <c r="K63" s="40"/>
    </row>
    <row r="64" spans="1:11" x14ac:dyDescent="0.2">
      <c r="A64" s="108" t="s">
        <v>71</v>
      </c>
      <c r="C64" s="40"/>
      <c r="H64" s="40"/>
      <c r="I64" s="40"/>
      <c r="J64" s="116"/>
      <c r="K64" s="40"/>
    </row>
    <row r="65" spans="1:11" outlineLevel="1" x14ac:dyDescent="0.2">
      <c r="C65" s="40"/>
      <c r="H65" s="40"/>
      <c r="I65" s="40"/>
      <c r="J65" s="116"/>
      <c r="K65" s="40"/>
    </row>
    <row r="66" spans="1:11" outlineLevel="1" x14ac:dyDescent="0.2">
      <c r="C66" s="40"/>
      <c r="D66" s="40"/>
      <c r="E66" s="86" t="s">
        <v>72</v>
      </c>
      <c r="F66" s="99">
        <v>59.566750491040942</v>
      </c>
      <c r="G66" s="70" t="s">
        <v>29</v>
      </c>
      <c r="H66" s="40"/>
      <c r="I66" s="40"/>
      <c r="J66" s="117"/>
      <c r="K66" s="40"/>
    </row>
    <row r="67" spans="1:11" outlineLevel="1" x14ac:dyDescent="0.2">
      <c r="C67" s="40"/>
      <c r="D67" s="40"/>
      <c r="E67" s="86" t="s">
        <v>73</v>
      </c>
      <c r="F67" s="99">
        <v>73.289586730670408</v>
      </c>
      <c r="G67" s="70" t="s">
        <v>29</v>
      </c>
      <c r="H67" s="40"/>
      <c r="I67" s="40"/>
      <c r="J67" s="116"/>
      <c r="K67" s="40"/>
    </row>
    <row r="68" spans="1:11" x14ac:dyDescent="0.2">
      <c r="C68" s="40"/>
      <c r="D68" s="40"/>
      <c r="E68" s="40"/>
      <c r="H68" s="40"/>
      <c r="I68" s="40"/>
      <c r="J68" s="118"/>
      <c r="K68" s="40"/>
    </row>
    <row r="69" spans="1:11" x14ac:dyDescent="0.2">
      <c r="A69" s="108" t="s">
        <v>74</v>
      </c>
      <c r="C69" s="40"/>
      <c r="D69" s="40"/>
      <c r="E69" s="40"/>
      <c r="F69" s="119"/>
      <c r="J69" s="105"/>
    </row>
    <row r="70" spans="1:11" outlineLevel="1" x14ac:dyDescent="0.2">
      <c r="C70" s="40"/>
      <c r="D70" s="40"/>
      <c r="E70" s="40"/>
      <c r="J70" s="105"/>
    </row>
    <row r="71" spans="1:11" outlineLevel="1" x14ac:dyDescent="0.2">
      <c r="C71" s="40"/>
      <c r="D71" s="40"/>
      <c r="E71" s="110" t="s">
        <v>75</v>
      </c>
      <c r="F71" s="99">
        <v>3383.3283627519231</v>
      </c>
      <c r="G71" s="70" t="s">
        <v>29</v>
      </c>
      <c r="J71" s="109"/>
    </row>
    <row r="72" spans="1:11" outlineLevel="1" x14ac:dyDescent="0.2">
      <c r="C72" s="40"/>
      <c r="D72" s="40"/>
      <c r="E72" s="110" t="s">
        <v>76</v>
      </c>
      <c r="F72" s="99">
        <v>4621.0774468957752</v>
      </c>
      <c r="G72" s="70" t="s">
        <v>29</v>
      </c>
      <c r="H72" s="119"/>
      <c r="J72" s="105"/>
    </row>
    <row r="73" spans="1:11" outlineLevel="1" x14ac:dyDescent="0.2">
      <c r="C73" s="40"/>
      <c r="D73" s="40"/>
      <c r="E73" s="110" t="s">
        <v>77</v>
      </c>
      <c r="F73" s="99">
        <v>202.65905094388188</v>
      </c>
      <c r="G73" s="70" t="s">
        <v>29</v>
      </c>
      <c r="J73" s="105"/>
    </row>
    <row r="74" spans="1:11" outlineLevel="1" x14ac:dyDescent="0.2">
      <c r="C74" s="40"/>
      <c r="D74" s="40"/>
      <c r="E74" s="110" t="s">
        <v>78</v>
      </c>
      <c r="F74" s="99">
        <v>510.04781067676237</v>
      </c>
      <c r="G74" s="70" t="s">
        <v>29</v>
      </c>
      <c r="J74" s="105"/>
    </row>
    <row r="75" spans="1:11" outlineLevel="1" x14ac:dyDescent="0.2">
      <c r="C75" s="40"/>
      <c r="D75" s="40"/>
      <c r="E75" s="110" t="s">
        <v>79</v>
      </c>
      <c r="F75" s="99">
        <v>424.18457053875591</v>
      </c>
      <c r="G75" s="70" t="s">
        <v>29</v>
      </c>
      <c r="J75" s="105"/>
    </row>
    <row r="76" spans="1:11" outlineLevel="1" x14ac:dyDescent="0.2">
      <c r="C76" s="40"/>
      <c r="D76" s="40"/>
      <c r="E76" s="110" t="s">
        <v>80</v>
      </c>
      <c r="F76" s="99">
        <v>736.79674057391276</v>
      </c>
      <c r="G76" s="70" t="s">
        <v>29</v>
      </c>
      <c r="J76" s="105"/>
    </row>
    <row r="77" spans="1:11" outlineLevel="1" x14ac:dyDescent="0.2">
      <c r="C77" s="40"/>
      <c r="D77" s="40"/>
      <c r="E77" s="110" t="s">
        <v>81</v>
      </c>
      <c r="F77" s="99">
        <v>46.557253534674892</v>
      </c>
      <c r="G77" s="70" t="s">
        <v>29</v>
      </c>
      <c r="J77" s="105"/>
    </row>
    <row r="78" spans="1:11" outlineLevel="1" x14ac:dyDescent="0.2">
      <c r="C78" s="40"/>
      <c r="D78" s="40"/>
      <c r="E78" s="110" t="s">
        <v>82</v>
      </c>
      <c r="F78" s="99">
        <v>231.92143255440783</v>
      </c>
      <c r="G78" s="70" t="s">
        <v>29</v>
      </c>
      <c r="J78" s="105"/>
    </row>
    <row r="79" spans="1:11" outlineLevel="1" x14ac:dyDescent="0.2">
      <c r="C79" s="40"/>
      <c r="D79" s="40"/>
      <c r="E79" s="110" t="s">
        <v>83</v>
      </c>
      <c r="F79" s="99">
        <v>0</v>
      </c>
      <c r="G79" s="70" t="s">
        <v>29</v>
      </c>
      <c r="J79" s="105"/>
    </row>
    <row r="80" spans="1:11" outlineLevel="1" x14ac:dyDescent="0.2">
      <c r="C80" s="40"/>
      <c r="D80" s="40"/>
      <c r="E80" s="110" t="s">
        <v>84</v>
      </c>
      <c r="F80" s="99">
        <v>149.53400262134264</v>
      </c>
      <c r="G80" s="70" t="s">
        <v>29</v>
      </c>
      <c r="J80" s="105"/>
    </row>
    <row r="81" spans="1:10" outlineLevel="1" x14ac:dyDescent="0.2">
      <c r="C81" s="40"/>
      <c r="D81" s="40"/>
      <c r="E81" s="110" t="s">
        <v>85</v>
      </c>
      <c r="F81" s="99">
        <v>695.42272185895331</v>
      </c>
      <c r="G81" s="70" t="s">
        <v>29</v>
      </c>
      <c r="J81" s="105"/>
    </row>
    <row r="82" spans="1:10" outlineLevel="1" x14ac:dyDescent="0.2">
      <c r="C82" s="40"/>
      <c r="D82" s="40"/>
      <c r="E82" s="110" t="s">
        <v>86</v>
      </c>
      <c r="F82" s="99">
        <v>950.69587210034842</v>
      </c>
      <c r="G82" s="70" t="s">
        <v>29</v>
      </c>
      <c r="J82" s="105"/>
    </row>
    <row r="83" spans="1:10" outlineLevel="1" x14ac:dyDescent="0.2">
      <c r="C83" s="40"/>
      <c r="D83" s="40"/>
      <c r="E83" s="110" t="s">
        <v>87</v>
      </c>
      <c r="F83" s="99">
        <v>131.24972573946249</v>
      </c>
      <c r="G83" s="70" t="s">
        <v>29</v>
      </c>
      <c r="J83" s="105"/>
    </row>
    <row r="84" spans="1:10" outlineLevel="1" x14ac:dyDescent="0.2">
      <c r="C84" s="40"/>
      <c r="D84" s="40"/>
      <c r="E84" s="110" t="s">
        <v>88</v>
      </c>
      <c r="F84" s="99">
        <v>48.761246477182816</v>
      </c>
      <c r="G84" s="70" t="s">
        <v>29</v>
      </c>
      <c r="J84" s="105"/>
    </row>
    <row r="85" spans="1:10" outlineLevel="1" x14ac:dyDescent="0.2">
      <c r="C85" s="40"/>
      <c r="D85" s="40"/>
      <c r="E85" s="110" t="s">
        <v>89</v>
      </c>
      <c r="F85" s="99">
        <v>18.762959090883722</v>
      </c>
      <c r="G85" s="70" t="s">
        <v>29</v>
      </c>
      <c r="J85" s="105"/>
    </row>
    <row r="86" spans="1:10" outlineLevel="1" x14ac:dyDescent="0.2">
      <c r="C86" s="40"/>
      <c r="D86" s="40"/>
      <c r="E86" s="110" t="s">
        <v>90</v>
      </c>
      <c r="F86" s="99">
        <v>476.68623708198032</v>
      </c>
      <c r="G86" s="70" t="s">
        <v>29</v>
      </c>
      <c r="J86" s="105"/>
    </row>
    <row r="87" spans="1:10" outlineLevel="1" x14ac:dyDescent="0.2">
      <c r="C87" s="40"/>
      <c r="D87" s="40"/>
      <c r="E87" s="110" t="s">
        <v>91</v>
      </c>
      <c r="F87" s="99">
        <v>54.885303037832216</v>
      </c>
      <c r="G87" s="70" t="s">
        <v>29</v>
      </c>
      <c r="J87" s="105"/>
    </row>
    <row r="88" spans="1:10" outlineLevel="1" x14ac:dyDescent="0.2">
      <c r="C88" s="40"/>
      <c r="D88" s="40"/>
      <c r="E88" s="110" t="s">
        <v>92</v>
      </c>
      <c r="F88" s="99">
        <v>915.02727688446305</v>
      </c>
      <c r="G88" s="70" t="s">
        <v>29</v>
      </c>
      <c r="J88" s="105"/>
    </row>
    <row r="89" spans="1:10" x14ac:dyDescent="0.2">
      <c r="C89" s="40"/>
      <c r="D89" s="40"/>
      <c r="E89" s="40"/>
    </row>
    <row r="90" spans="1:10" x14ac:dyDescent="0.2">
      <c r="A90" s="108" t="s">
        <v>93</v>
      </c>
      <c r="C90" s="40"/>
      <c r="D90" s="40"/>
      <c r="E90" s="40"/>
    </row>
    <row r="91" spans="1:10" outlineLevel="1" x14ac:dyDescent="0.2">
      <c r="C91" s="40"/>
      <c r="D91" s="40"/>
      <c r="E91" s="40"/>
    </row>
    <row r="92" spans="1:10" outlineLevel="1" x14ac:dyDescent="0.2">
      <c r="C92" s="40"/>
      <c r="D92" s="40"/>
      <c r="E92" s="40" t="s">
        <v>94</v>
      </c>
      <c r="F92" s="98">
        <v>1000</v>
      </c>
      <c r="G92" s="70" t="s">
        <v>95</v>
      </c>
    </row>
    <row r="93" spans="1:10" x14ac:dyDescent="0.2">
      <c r="C93" s="40"/>
      <c r="D93" s="40"/>
      <c r="E93" s="40" t="s">
        <v>96</v>
      </c>
      <c r="F93" s="98">
        <v>12</v>
      </c>
      <c r="G93" s="70" t="s">
        <v>97</v>
      </c>
    </row>
    <row r="94" spans="1:10" x14ac:dyDescent="0.2">
      <c r="C94" s="40"/>
      <c r="D94" s="40"/>
      <c r="E94" s="40"/>
    </row>
    <row r="95" spans="1:10" x14ac:dyDescent="0.2">
      <c r="C95" s="40"/>
      <c r="D95" s="40"/>
      <c r="E95" s="40"/>
    </row>
    <row r="96" spans="1:10" x14ac:dyDescent="0.2">
      <c r="B96" s="40" t="s">
        <v>98</v>
      </c>
      <c r="C96" s="40"/>
      <c r="D96" s="40"/>
      <c r="E96" s="40"/>
    </row>
    <row r="97" spans="3:5" x14ac:dyDescent="0.2">
      <c r="C97" s="40"/>
      <c r="D97" s="40"/>
      <c r="E97" s="40"/>
    </row>
    <row r="98" spans="3:5" x14ac:dyDescent="0.2">
      <c r="C98" s="40"/>
      <c r="D98" s="40"/>
      <c r="E98" s="40"/>
    </row>
    <row r="99" spans="3:5" x14ac:dyDescent="0.2">
      <c r="C99" s="40"/>
      <c r="D99" s="40"/>
      <c r="E99" s="40"/>
    </row>
    <row r="100" spans="3:5" x14ac:dyDescent="0.2">
      <c r="C100" s="40"/>
      <c r="D100" s="40"/>
      <c r="E100" s="40"/>
    </row>
    <row r="101" spans="3:5" x14ac:dyDescent="0.2">
      <c r="C101" s="40"/>
      <c r="D101" s="40"/>
      <c r="E101" s="40"/>
    </row>
    <row r="102" spans="3:5" x14ac:dyDescent="0.2">
      <c r="C102" s="40"/>
      <c r="D102" s="40"/>
      <c r="E102" s="40"/>
    </row>
    <row r="103" spans="3:5" x14ac:dyDescent="0.2">
      <c r="C103" s="40"/>
      <c r="D103" s="40"/>
      <c r="E103" s="40"/>
    </row>
    <row r="104" spans="3:5" x14ac:dyDescent="0.2">
      <c r="C104" s="40"/>
      <c r="D104" s="40"/>
      <c r="E104" s="40"/>
    </row>
    <row r="105" spans="3:5" x14ac:dyDescent="0.2">
      <c r="C105" s="40"/>
      <c r="D105" s="40"/>
      <c r="E105" s="40"/>
    </row>
    <row r="106" spans="3:5" x14ac:dyDescent="0.2">
      <c r="C106" s="40"/>
      <c r="D106" s="40"/>
      <c r="E106" s="40"/>
    </row>
    <row r="107" spans="3:5" x14ac:dyDescent="0.2">
      <c r="C107" s="40"/>
      <c r="D107" s="40"/>
      <c r="E107" s="40"/>
    </row>
    <row r="108" spans="3:5" x14ac:dyDescent="0.2">
      <c r="C108" s="40"/>
      <c r="D108" s="40"/>
      <c r="E108" s="40"/>
    </row>
    <row r="109" spans="3:5" x14ac:dyDescent="0.2">
      <c r="C109" s="40"/>
      <c r="D109" s="40"/>
      <c r="E109" s="40"/>
    </row>
    <row r="110" spans="3:5" x14ac:dyDescent="0.2">
      <c r="C110" s="40"/>
      <c r="D110" s="40"/>
      <c r="E110" s="40"/>
    </row>
    <row r="111" spans="3:5" x14ac:dyDescent="0.2">
      <c r="C111" s="40"/>
      <c r="D111" s="40"/>
      <c r="E111" s="40"/>
    </row>
    <row r="112" spans="3:5" x14ac:dyDescent="0.2">
      <c r="C112" s="40"/>
      <c r="D112" s="40"/>
      <c r="E112" s="40"/>
    </row>
    <row r="113" spans="3:5" x14ac:dyDescent="0.2">
      <c r="C113" s="40"/>
      <c r="D113" s="40"/>
      <c r="E113" s="40"/>
    </row>
    <row r="114" spans="3:5" x14ac:dyDescent="0.2">
      <c r="C114" s="40"/>
      <c r="D114" s="40"/>
      <c r="E114" s="40"/>
    </row>
    <row r="115" spans="3:5" x14ac:dyDescent="0.2">
      <c r="C115" s="40"/>
      <c r="D115" s="40"/>
      <c r="E115" s="40"/>
    </row>
    <row r="116" spans="3:5" x14ac:dyDescent="0.2">
      <c r="C116" s="40"/>
      <c r="D116" s="40"/>
      <c r="E116" s="40"/>
    </row>
  </sheetData>
  <conditionalFormatting sqref="F2">
    <cfRule type="cellIs" dxfId="82" priority="3" stopIfTrue="1" operator="equal">
      <formula>""</formula>
    </cfRule>
  </conditionalFormatting>
  <conditionalFormatting sqref="F2:F3">
    <cfRule type="cellIs" dxfId="81" priority="1" stopIfTrue="1" operator="notEqual">
      <formula>0</formula>
    </cfRule>
  </conditionalFormatting>
  <conditionalFormatting sqref="J3:S3">
    <cfRule type="cellIs" dxfId="80" priority="4" operator="equal">
      <formula>"PPA ext."</formula>
    </cfRule>
    <cfRule type="cellIs" dxfId="79" priority="5" operator="equal">
      <formula>"Delay"</formula>
    </cfRule>
    <cfRule type="cellIs" dxfId="78" priority="6" operator="equal">
      <formula>"Fin Close"</formula>
    </cfRule>
    <cfRule type="cellIs" dxfId="77" priority="7" stopIfTrue="1" operator="equal">
      <formula>"Construction"</formula>
    </cfRule>
    <cfRule type="cellIs" dxfId="76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outlineLevelRow="1" x14ac:dyDescent="0.2"/>
  <cols>
    <col min="1" max="4" width="1.44140625" style="70" customWidth="1"/>
    <col min="5" max="5" width="30.109375" style="70" bestFit="1" customWidth="1"/>
    <col min="6" max="6" width="18.6640625" style="70" bestFit="1" customWidth="1"/>
    <col min="7" max="7" width="11.33203125" style="70" bestFit="1" customWidth="1"/>
    <col min="8" max="8" width="6.6640625" style="70" bestFit="1" customWidth="1"/>
    <col min="9" max="9" width="3.44140625" style="70" customWidth="1"/>
    <col min="10" max="19" width="11.4414062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F2">
    <cfRule type="cellIs" dxfId="75" priority="3" stopIfTrue="1" operator="equal">
      <formula>""</formula>
    </cfRule>
  </conditionalFormatting>
  <conditionalFormatting sqref="F2:F3">
    <cfRule type="cellIs" dxfId="74" priority="1" stopIfTrue="1" operator="notEqual">
      <formula>0</formula>
    </cfRule>
  </conditionalFormatting>
  <conditionalFormatting sqref="J3:S3">
    <cfRule type="cellIs" dxfId="73" priority="9" operator="equal">
      <formula>"PPA ext."</formula>
    </cfRule>
    <cfRule type="cellIs" dxfId="72" priority="10" operator="equal">
      <formula>"Delay"</formula>
    </cfRule>
    <cfRule type="cellIs" dxfId="71" priority="11" operator="equal">
      <formula>"Fin Close"</formula>
    </cfRule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x14ac:dyDescent="0.2"/>
  <cols>
    <col min="1" max="4" width="1.44140625" style="70" customWidth="1"/>
    <col min="5" max="5" width="58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1037.5756544096971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1224.9963647336619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529.58998928332221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625.251574585659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780.24466744628114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625.251574585659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154.99309286062214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xml:space="preserve">  F$17</f>
        <v>625.251574585659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xml:space="preserve">  F$11</f>
        <v>1224.9963647336619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0.51041096331873681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780.24466744628114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1743.169925846719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0.44760103755650144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0.44760103755650144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0.51041096331873681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-6.2809925762235375E-2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xml:space="preserve">  F$41</f>
        <v>-6.2809925762235375E-2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1743.169925846719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-109.48837363339376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154.99309286062214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-109.48837363339376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264.48146649401588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1182.7736697319526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1396.4219761388358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1726.3024956347729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1396.4219761388358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2625.0623727053376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125.66578338326059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104.75073244365714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125.66578338326059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0.83356606407476985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154.99309286062214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2625.0623727053376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59.043584820001556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59.043584820001556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0.83356606407476985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49.216728607273524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264.48146649401588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xml:space="preserve">  F$23</f>
        <v>154.99309286062214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49.216728607273524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83.983823522995124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xml:space="preserve">  F$23</f>
        <v>154.99309286062214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2625.0623727053376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59.043584820001556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xml:space="preserve">  F$100</f>
        <v>59.043584820001556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0.83356606407476985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49.216728607273524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xml:space="preserve">  F$106</f>
        <v>49.216728607273524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83.983823522995124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-34.7670949157216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F2">
    <cfRule type="cellIs" dxfId="68" priority="3" stopIfTrue="1" operator="equal">
      <formula>""</formula>
    </cfRule>
  </conditionalFormatting>
  <conditionalFormatting sqref="F2:F3">
    <cfRule type="cellIs" dxfId="67" priority="1" stopIfTrue="1" operator="notEqual">
      <formula>0</formula>
    </cfRule>
  </conditionalFormatting>
  <conditionalFormatting sqref="J3:S3">
    <cfRule type="cellIs" dxfId="66" priority="9" operator="equal">
      <formula>"PPA ext."</formula>
    </cfRule>
    <cfRule type="cellIs" dxfId="65" priority="10" operator="equal">
      <formula>"Delay"</formula>
    </cfRule>
    <cfRule type="cellIs" dxfId="64" priority="11" operator="equal">
      <formula>"Fin Close"</formula>
    </cfRule>
    <cfRule type="cellIs" dxfId="63" priority="12" stopIfTrue="1" operator="equal">
      <formula>"Construction"</formula>
    </cfRule>
    <cfRule type="cellIs" dxfId="62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x14ac:dyDescent="0.2"/>
  <cols>
    <col min="1" max="4" width="1.44140625" style="70" customWidth="1"/>
    <col min="5" max="5" width="36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8023.2075997205802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9472.4660330940642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380.29894017961021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448.99359121637173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498.37121209367302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448.99359121637173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49.377620877301297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448.99359121637173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9472.4660330940642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4.7399862891850719E-2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498.37121209367302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11488.629221568635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4.337951921696942E-2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4.337951921696942E-2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4.7399862891850719E-2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-4.0203436748812993E-3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xml:space="preserve">  F$41</f>
        <v>-4.0203436748812993E-3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11488.629221568635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-46.18823782398993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49.377620877301297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-46.18823782398993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95.565858701291234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49.377620877301297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2625.0623727053376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18.810075292197226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18.810075292197226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0.83356606407476985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15.679440426266918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95.565858701291234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49.377620877301297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15.679440426266918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30.346119591613522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-46.18823782398993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49.377620877301297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15.679440426266918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-14.666679165346604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F2">
    <cfRule type="cellIs" dxfId="61" priority="3" stopIfTrue="1" operator="equal">
      <formula>""</formula>
    </cfRule>
  </conditionalFormatting>
  <conditionalFormatting sqref="F2:F3">
    <cfRule type="cellIs" dxfId="60" priority="1" stopIfTrue="1" operator="notEqual">
      <formula>0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  <cfRule type="cellIs" dxfId="57" priority="11" operator="equal">
      <formula>"Fin Close"</formula>
    </cfRule>
    <cfRule type="cellIs" dxfId="56" priority="12" stopIfTrue="1" operator="equal">
      <formula>"Construction"</formula>
    </cfRule>
    <cfRule type="cellIs" dxfId="55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23" sqref="E23"/>
    </sheetView>
  </sheetViews>
  <sheetFormatPr defaultColWidth="0" defaultRowHeight="13" outlineLevelRow="1" x14ac:dyDescent="0.2"/>
  <cols>
    <col min="1" max="4" width="1.44140625" style="70" customWidth="1"/>
    <col min="5" max="5" width="50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558.41118449859835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472.38795616390502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86.023228334693329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86.023228334693329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-21.830990985117182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3.1034868761533616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104.75073244365714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1182.7736697319526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1396.4219761388358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1726.3024956347729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1396.4219761388358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2625.0623727053376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125.66578338326059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xml:space="preserve">  F$24</f>
        <v>104.75073244365714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xml:space="preserve">  F$38</f>
        <v>125.66578338326059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0.83356606407476985</v>
      </c>
      <c r="G44" s="75" t="s">
        <v>115</v>
      </c>
      <c r="M44" s="91"/>
    </row>
    <row r="48" spans="1:13" x14ac:dyDescent="0.2">
      <c r="A48" s="69" t="s">
        <v>139</v>
      </c>
    </row>
    <row r="49" spans="1:13" outlineLevel="1" x14ac:dyDescent="0.2">
      <c r="B49" s="69" t="s">
        <v>140</v>
      </c>
    </row>
    <row r="50" spans="1:13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217.27059028145726</v>
      </c>
      <c r="G50" s="88" t="str">
        <f xml:space="preserve">  InpS!G$36</f>
        <v>£m</v>
      </c>
      <c r="M50" s="89"/>
    </row>
    <row r="51" spans="1:13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outlineLevel="1" x14ac:dyDescent="0.2">
      <c r="E52" s="70" t="s">
        <v>140</v>
      </c>
      <c r="F52" s="89">
        <f xml:space="preserve">  $F50 * $F51</f>
        <v>256.51689313175405</v>
      </c>
      <c r="G52" s="70" t="s">
        <v>29</v>
      </c>
      <c r="M52" s="89"/>
    </row>
    <row r="53" spans="1:13" outlineLevel="1" x14ac:dyDescent="0.2"/>
    <row r="54" spans="1:13" outlineLevel="1" x14ac:dyDescent="0.2"/>
    <row r="55" spans="1:13" outlineLevel="1" x14ac:dyDescent="0.2">
      <c r="B55" s="69" t="s">
        <v>141</v>
      </c>
    </row>
    <row r="56" spans="1:13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358.13811768387228</v>
      </c>
      <c r="G56" s="88" t="str">
        <f xml:space="preserve">  InpS!G$37</f>
        <v>£m</v>
      </c>
      <c r="M56" s="89"/>
    </row>
    <row r="57" spans="1:13" outlineLevel="1" x14ac:dyDescent="0.2">
      <c r="E57" s="89" t="str">
        <f t="shared" ref="E57:G57" si="6" xml:space="preserve">  E$52</f>
        <v>Final return on capital PR19</v>
      </c>
      <c r="F57" s="89">
        <f t="shared" si="6"/>
        <v>256.51689313175405</v>
      </c>
      <c r="G57" s="89" t="str">
        <f t="shared" si="6"/>
        <v>£m</v>
      </c>
      <c r="M57" s="89"/>
    </row>
    <row r="58" spans="1:13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2625.0623727053376</v>
      </c>
      <c r="G58" s="72" t="str">
        <f xml:space="preserve">  'Cost to serve'!G$17</f>
        <v>000 customers</v>
      </c>
      <c r="M58" s="73"/>
    </row>
    <row r="59" spans="1:13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2">
      <c r="E60" s="70" t="s">
        <v>141</v>
      </c>
      <c r="F60" s="89">
        <f xml:space="preserve">  ( $F56 - $F57 ) / $F58 * $F59</f>
        <v>38.711927613129205</v>
      </c>
      <c r="G60" s="70" t="s">
        <v>50</v>
      </c>
      <c r="M60" s="89"/>
    </row>
    <row r="61" spans="1:13" outlineLevel="1" x14ac:dyDescent="0.2"/>
    <row r="62" spans="1:13" outlineLevel="1" x14ac:dyDescent="0.2"/>
    <row r="63" spans="1:13" outlineLevel="1" x14ac:dyDescent="0.2">
      <c r="B63" s="69" t="s">
        <v>139</v>
      </c>
    </row>
    <row r="64" spans="1:13" outlineLevel="1" x14ac:dyDescent="0.2">
      <c r="E64" s="89" t="str">
        <f t="shared" ref="E64:G64" si="7" xml:space="preserve">  E$60</f>
        <v>Pre-adjustment WACC</v>
      </c>
      <c r="F64" s="89">
        <f xml:space="preserve">  F$60</f>
        <v>38.711927613129205</v>
      </c>
      <c r="G64" s="89" t="str">
        <f t="shared" si="7"/>
        <v>£ / customer</v>
      </c>
      <c r="M64" s="89"/>
    </row>
    <row r="65" spans="1:13" outlineLevel="1" x14ac:dyDescent="0.2">
      <c r="E65" s="91" t="str">
        <f t="shared" ref="E65:G65" si="8" xml:space="preserve">  E$44</f>
        <v>Adjustment factor</v>
      </c>
      <c r="F65" s="91">
        <f xml:space="preserve">  F$44</f>
        <v>0.83356606407476985</v>
      </c>
      <c r="G65" s="91" t="str">
        <f t="shared" si="8"/>
        <v>factor</v>
      </c>
      <c r="M65" s="91"/>
    </row>
    <row r="66" spans="1:13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32.268949133223515</v>
      </c>
      <c r="G66" s="75" t="s">
        <v>50</v>
      </c>
      <c r="M66" s="89"/>
    </row>
    <row r="67" spans="1:13" outlineLevel="1" x14ac:dyDescent="0.2"/>
    <row r="70" spans="1:13" x14ac:dyDescent="0.2">
      <c r="B70" s="70" t="s">
        <v>98</v>
      </c>
    </row>
  </sheetData>
  <conditionalFormatting sqref="F2">
    <cfRule type="cellIs" dxfId="54" priority="3" stopIfTrue="1" operator="equal">
      <formula>""</formula>
    </cfRule>
  </conditionalFormatting>
  <conditionalFormatting sqref="F2:F3">
    <cfRule type="cellIs" dxfId="53" priority="1" stopIfTrue="1" operator="notEqual">
      <formula>0</formula>
    </cfRule>
  </conditionalFormatting>
  <conditionalFormatting sqref="J3:S3">
    <cfRule type="cellIs" dxfId="52" priority="9" operator="equal">
      <formula>"PPA ext."</formula>
    </cfRule>
    <cfRule type="cellIs" dxfId="51" priority="10" operator="equal">
      <formula>"Delay"</formula>
    </cfRule>
    <cfRule type="cellIs" dxfId="50" priority="11" operator="equal">
      <formula>"Fin Close"</formula>
    </cfRule>
    <cfRule type="cellIs" dxfId="49" priority="12" stopIfTrue="1" operator="equal">
      <formula>"Construction"</formula>
    </cfRule>
    <cfRule type="cellIs" dxfId="48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x14ac:dyDescent="0.2"/>
  <cols>
    <col min="1" max="4" width="1.44140625" style="70" customWidth="1"/>
    <col min="5" max="5" width="50.66406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5.193618498618858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6.1317589262839789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49.595034705001524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6.1317589262839789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2625.0623727053376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16.557044979439919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16.557044979439919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0.83356606407476985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13.801390816220662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47" priority="3" stopIfTrue="1" operator="equal">
      <formula>""</formula>
    </cfRule>
  </conditionalFormatting>
  <conditionalFormatting sqref="F2:F3">
    <cfRule type="cellIs" dxfId="46" priority="1" stopIfTrue="1" operator="notEqual">
      <formula>0</formula>
    </cfRule>
  </conditionalFormatting>
  <conditionalFormatting sqref="J3:S3">
    <cfRule type="cellIs" dxfId="45" priority="9" operator="equal">
      <formula>"PPA ext."</formula>
    </cfRule>
    <cfRule type="cellIs" dxfId="44" priority="10" operator="equal">
      <formula>"Delay"</formula>
    </cfRule>
    <cfRule type="cellIs" dxfId="43" priority="11" operator="equal">
      <formula>"Fin Close"</formula>
    </cfRule>
    <cfRule type="cellIs" dxfId="42" priority="12" stopIfTrue="1" operator="equal">
      <formula>"Construction"</formula>
    </cfRule>
    <cfRule type="cellIs" dxfId="41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_ip_UnifiedCompliancePolicyProperties xmlns="http://schemas.microsoft.com/sharepoint/v3" xsi:nil="true"/>
    <Batch xmlns="2e9523b9-9c37-4c05-b1eb-7b6f416249bb" xsi:nil="true"/>
    <TEST xmlns="2e9523b9-9c37-4c05-b1eb-7b6f416249bb" xsi:nil="true"/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2" ma:contentTypeDescription="Create a new document." ma:contentTypeScope="" ma:versionID="1407fb57b5b59b6ad13ed8cc6bab6965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30b8069066f12f42f09ca0cde2d08829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Props1.xml><?xml version="1.0" encoding="utf-8"?>
<ds:datastoreItem xmlns:ds="http://schemas.openxmlformats.org/officeDocument/2006/customXml" ds:itemID="{C952C203-2DCD-4458-BE25-BD4BB7AEAC6D}">
  <ds:schemaRefs>
    <ds:schemaRef ds:uri="http://purl.org/dc/elements/1.1/"/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2006/metadata/properties"/>
    <ds:schemaRef ds:uri="75e05205-f2e1-4168-9176-3cea1311c63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5c3d349-d7b5-4b99-a759-edf8a89fca83"/>
    <ds:schemaRef ds:uri="2e9523b9-9c37-4c05-b1eb-7b6f416249b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9E9D13-AAB5-4FE0-8FD3-2AE744EA8B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25A5D-23C1-486A-A035-01D75C804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9523b9-9c37-4c05-b1eb-7b6f416249bb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7BDC36-4822-4574-A327-0049824AFF9D}">
  <ds:schemaRefs/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OBXValues</vt:lpstr>
      <vt:lpstr>Total bill impacts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2024-10-31T11:35:08Z</dcterms:created>
  <dcterms:modified xsi:type="dcterms:W3CDTF">2024-11-29T15:09:31Z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0x01010056CA1FEDC0F04146B2629EDF721CF670</vt:lpwstr>
  </property>
</Properties>
</file>