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8_{464DA3F7-1E06-43BF-BB9E-23FBADAFF394}" xr6:coauthVersionLast="47" xr6:coauthVersionMax="47" xr10:uidLastSave="{00000000-0000-0000-0000-000000000000}"/>
  <bookViews>
    <workbookView xWindow="33720" yWindow="-120" windowWidth="29040" windowHeight="15720" activeTab="1" xr2:uid="{00000000-000D-0000-FFFF-FFFF00000000}"/>
  </bookViews>
  <sheets>
    <sheet name="Cover" sheetId="21" r:id="rId1"/>
    <sheet name="Commentary" sheetId="26" r:id="rId2"/>
    <sheet name="1.Enh line groups&gt;&gt;&gt;" sheetId="22" r:id="rId3"/>
    <sheet name="Water" sheetId="19" r:id="rId4"/>
    <sheet name="Wastewater" sheetId="20" r:id="rId5"/>
    <sheet name="2.SO data req&gt;&gt;&gt;" sheetId="23" r:id="rId6"/>
    <sheet name="Spill reduction - Network" sheetId="24" r:id="rId7"/>
    <sheet name="Spill reduction - STW" sheetId="25" r:id="rId8"/>
  </sheets>
  <definedNames>
    <definedName name="_xlnm._FilterDatabase" localSheetId="6" hidden="1">'Spill reduction - Network'!$A$8:$AG$108</definedName>
    <definedName name="_xlnm._FilterDatabase" localSheetId="4" hidden="1">Wastewater!$A$9:$D$9</definedName>
    <definedName name="ChK_Tol">#REF!</definedName>
    <definedName name="Pct_Tol">#REF!</definedName>
    <definedName name="Trk_To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5" i="24" l="1"/>
  <c r="AD19" i="24"/>
  <c r="Z35" i="24"/>
  <c r="AC36" i="24"/>
  <c r="Z36" i="24" s="1"/>
  <c r="Z37" i="24"/>
  <c r="AC37" i="24"/>
  <c r="Z38" i="24"/>
  <c r="AC38" i="24"/>
  <c r="AA39" i="24"/>
  <c r="Z39" i="24" s="1"/>
  <c r="AC39" i="24"/>
  <c r="AC40" i="24"/>
  <c r="Z40" i="24" s="1"/>
  <c r="AC41" i="24"/>
  <c r="Z41" i="24" s="1"/>
  <c r="Z42" i="24"/>
  <c r="AC42" i="24"/>
  <c r="AC43" i="24"/>
  <c r="Z43" i="24" s="1"/>
  <c r="Z44" i="24"/>
  <c r="Z45" i="24"/>
  <c r="Z46" i="24"/>
  <c r="Z47" i="24"/>
  <c r="AA48" i="24"/>
  <c r="Z48" i="24" s="1"/>
  <c r="AC49" i="24"/>
  <c r="Z49" i="24" s="1"/>
  <c r="Z50" i="24"/>
  <c r="Z51" i="24"/>
  <c r="Z52" i="24"/>
  <c r="Z53" i="24"/>
  <c r="AA67" i="25" l="1"/>
  <c r="Z67" i="25"/>
  <c r="AB66" i="25"/>
  <c r="Z66" i="25"/>
  <c r="Z65" i="25"/>
  <c r="AC64" i="25"/>
  <c r="Z64" i="25"/>
  <c r="Z63" i="25"/>
  <c r="AC62" i="25"/>
  <c r="Z62" i="25"/>
  <c r="Z61" i="25"/>
  <c r="Z60" i="25"/>
  <c r="Z59" i="25"/>
  <c r="AA58" i="25"/>
  <c r="AC58" i="25" s="1"/>
  <c r="Z58" i="25"/>
  <c r="Z57" i="25"/>
  <c r="AC56" i="25"/>
  <c r="Z56" i="25"/>
  <c r="Z55" i="25"/>
  <c r="Z54" i="25"/>
  <c r="Z53" i="25"/>
  <c r="Z52" i="25"/>
  <c r="AA51" i="25"/>
  <c r="Z51" i="25"/>
  <c r="Z50" i="25"/>
  <c r="AA49" i="25"/>
  <c r="Z49" i="25"/>
  <c r="Z48" i="25"/>
  <c r="Z47" i="25"/>
  <c r="Z46" i="25"/>
  <c r="Z45" i="25"/>
  <c r="Z44" i="25"/>
  <c r="Z43" i="25"/>
  <c r="Z42" i="25"/>
  <c r="AA41" i="25"/>
  <c r="Z41" i="25"/>
  <c r="Z40" i="25"/>
  <c r="AB39" i="25"/>
  <c r="Z39" i="25"/>
  <c r="Z38" i="25"/>
  <c r="Z37" i="25"/>
  <c r="Z36" i="25"/>
  <c r="AB35" i="25"/>
  <c r="Z35" i="25"/>
  <c r="Z34" i="25"/>
  <c r="Z33" i="25"/>
  <c r="Z32" i="25"/>
  <c r="AC31" i="25"/>
  <c r="Z31" i="25"/>
  <c r="AB30" i="25"/>
  <c r="Z30" i="25"/>
  <c r="Z29" i="25"/>
  <c r="AA28" i="25"/>
  <c r="Z28" i="25"/>
  <c r="AA27" i="25"/>
  <c r="Z27" i="25"/>
  <c r="Z26" i="25"/>
  <c r="Z25" i="25"/>
  <c r="Z24" i="25"/>
  <c r="Z23" i="25"/>
  <c r="AC22" i="25"/>
  <c r="Z22" i="25"/>
  <c r="Z21" i="25"/>
  <c r="AA20" i="25"/>
  <c r="Z20" i="25"/>
  <c r="AA19" i="25"/>
  <c r="AC19" i="25" s="1"/>
  <c r="Z19" i="25"/>
  <c r="Z18" i="25"/>
  <c r="AC17" i="25"/>
  <c r="Z17" i="25"/>
  <c r="Z16" i="25"/>
  <c r="AA15" i="25"/>
  <c r="AC15" i="25" s="1"/>
  <c r="Z15" i="25"/>
  <c r="AA14" i="25"/>
  <c r="Z14" i="25"/>
  <c r="AC13" i="25"/>
  <c r="Z13" i="25"/>
  <c r="Z12" i="25"/>
  <c r="Z11" i="25"/>
  <c r="Z10" i="25"/>
  <c r="Z9" i="25"/>
  <c r="Z14" i="24"/>
  <c r="Z15" i="24"/>
  <c r="Z17" i="24"/>
  <c r="Z18" i="24"/>
  <c r="Z19" i="24"/>
  <c r="Z20" i="24"/>
  <c r="Z21" i="24"/>
  <c r="Z22" i="24"/>
  <c r="Z23" i="24"/>
  <c r="Z24" i="24"/>
  <c r="Z25" i="24"/>
  <c r="Z26" i="24"/>
  <c r="Z27" i="24"/>
  <c r="Z28" i="24"/>
  <c r="Z30" i="24"/>
  <c r="Z31" i="24"/>
  <c r="Z54" i="24"/>
  <c r="Z55" i="24"/>
  <c r="Z57" i="24"/>
  <c r="Z58" i="24"/>
  <c r="Z59" i="24"/>
  <c r="Z61" i="24"/>
  <c r="Z62" i="24"/>
  <c r="Z64" i="24"/>
  <c r="Z65" i="24"/>
  <c r="Z66" i="24"/>
  <c r="Z67" i="24"/>
  <c r="Z68" i="24"/>
  <c r="Z69" i="24"/>
  <c r="Z73" i="24"/>
  <c r="Z74" i="24"/>
  <c r="Z75" i="24"/>
  <c r="Z76" i="24"/>
  <c r="Z78" i="24"/>
  <c r="Z80" i="24"/>
  <c r="Z83" i="24"/>
  <c r="Z84" i="24"/>
  <c r="Z85" i="24"/>
  <c r="Z88" i="24"/>
  <c r="Z89" i="24"/>
  <c r="Z90" i="24"/>
  <c r="Z91" i="24"/>
  <c r="Z94" i="24"/>
  <c r="Z95" i="24"/>
  <c r="Z99" i="24"/>
  <c r="Z100" i="24"/>
  <c r="Z102" i="24"/>
  <c r="Z104" i="24"/>
  <c r="Z106" i="24"/>
  <c r="Z107" i="24"/>
  <c r="AC108" i="24"/>
  <c r="Z108" i="24" s="1"/>
  <c r="AC105" i="24"/>
  <c r="Z105" i="24" s="1"/>
  <c r="AC103" i="24"/>
  <c r="Z103" i="24" s="1"/>
  <c r="AC101" i="24"/>
  <c r="Z101" i="24" s="1"/>
  <c r="AC98" i="24"/>
  <c r="Z98" i="24" s="1"/>
  <c r="AC97" i="24"/>
  <c r="Z97" i="24" s="1"/>
  <c r="AC96" i="24"/>
  <c r="Z96" i="24" s="1"/>
  <c r="AC92" i="24"/>
  <c r="Z92" i="24" s="1"/>
  <c r="AC87" i="24"/>
  <c r="Z87" i="24" s="1"/>
  <c r="AC82" i="24"/>
  <c r="Z82" i="24" s="1"/>
  <c r="AC81" i="24"/>
  <c r="Z81" i="24" s="1"/>
  <c r="AC77" i="24"/>
  <c r="Z77" i="24" s="1"/>
  <c r="AC72" i="24"/>
  <c r="Z72" i="24" s="1"/>
  <c r="AC71" i="24"/>
  <c r="Z71" i="24" s="1"/>
  <c r="AC70" i="24"/>
  <c r="Z70" i="24" s="1"/>
  <c r="AC63" i="24"/>
  <c r="Z63" i="24" s="1"/>
  <c r="AC60" i="24"/>
  <c r="Z60" i="24" s="1"/>
  <c r="AC34" i="24"/>
  <c r="Z34" i="24" s="1"/>
  <c r="AC33" i="24"/>
  <c r="Z33" i="24" s="1"/>
  <c r="AC29" i="24"/>
  <c r="Z29" i="24" s="1"/>
  <c r="AC13" i="24"/>
  <c r="Z13" i="24" s="1"/>
  <c r="AA12" i="24"/>
  <c r="Z12" i="24" s="1"/>
  <c r="AC10" i="24"/>
  <c r="Z10" i="24" s="1"/>
  <c r="AC9" i="24"/>
  <c r="Z9" i="24" s="1"/>
  <c r="AA86" i="24"/>
  <c r="AC86" i="24" s="1"/>
  <c r="Z86" i="24" s="1"/>
  <c r="AA93" i="24"/>
  <c r="Z93" i="24" s="1"/>
  <c r="AA79" i="24"/>
  <c r="AC79" i="24" s="1"/>
  <c r="Z79" i="24" s="1"/>
  <c r="AA56" i="24"/>
  <c r="Z56" i="24" s="1"/>
  <c r="AA32" i="24"/>
  <c r="AC32" i="24" s="1"/>
  <c r="Z32" i="24" s="1"/>
  <c r="AA16" i="24"/>
  <c r="AC16" i="24" s="1"/>
  <c r="Z16" i="24" s="1"/>
  <c r="AA11" i="24"/>
  <c r="Z11" i="24" s="1"/>
</calcChain>
</file>

<file path=xl/sharedStrings.xml><?xml version="1.0" encoding="utf-8"?>
<sst xmlns="http://schemas.openxmlformats.org/spreadsheetml/2006/main" count="1771" uniqueCount="1070">
  <si>
    <t>IN 22/05 Further guidance on price control deliverables for PR24 - Appendix 3</t>
  </si>
  <si>
    <t xml:space="preserve">Introduction </t>
  </si>
  <si>
    <t>This appendix sets out the enhancement line groupings to which the materiality threshold for price control deliverables should be applied. It also sets out the additional data request on storm overflow expenditure feeding into enhancement line grouping PCDWW5.</t>
  </si>
  <si>
    <t>Description of tables</t>
  </si>
  <si>
    <r>
      <rPr>
        <b/>
        <sz val="11"/>
        <rFont val="Arial"/>
        <family val="2"/>
      </rPr>
      <t xml:space="preserve">1. Enhancement line groupings for materiality test
</t>
    </r>
    <r>
      <rPr>
        <sz val="11"/>
        <rFont val="Arial"/>
        <family val="2"/>
      </rPr>
      <t xml:space="preserve">
The annex sets out the enhancement line groupings for water and wastewater separately. Each table maps the price control deliverable groupings to each enhancement line in business plan tables CW3 and CWW3. 
PCD groupings are set out in column D. Business plan line references are set out in column C.
</t>
    </r>
    <r>
      <rPr>
        <b/>
        <sz val="11"/>
        <rFont val="Arial"/>
        <family val="2"/>
      </rPr>
      <t xml:space="preserve">2. Additional data request for enhancement line grouping PCDWW5 (storm overflows)
</t>
    </r>
    <r>
      <rPr>
        <sz val="11"/>
        <rFont val="Arial"/>
        <family val="2"/>
      </rPr>
      <t xml:space="preserve">Please provide the information requested in the 'Spill reduction - Network' and 'Spill reduction - STW' worksheets for each scheme captured in the enhancement line grouping PCDWW5.
For the purposes of the data requested in the 'Spill reduction - Network' worksheet, the following terms should be understood as follows:
</t>
    </r>
    <r>
      <rPr>
        <b/>
        <sz val="11"/>
        <rFont val="Arial"/>
        <family val="2"/>
      </rPr>
      <t>Current spills (annual spills - EDM base year)</t>
    </r>
    <r>
      <rPr>
        <sz val="11"/>
        <rFont val="Arial"/>
        <family val="2"/>
      </rPr>
      <t xml:space="preserve"> - This is the actual number of spills recorded via EDM for 2023
</t>
    </r>
    <r>
      <rPr>
        <b/>
        <sz val="11"/>
        <rFont val="Arial"/>
        <family val="2"/>
      </rPr>
      <t xml:space="preserve">Target spills (annual spills) </t>
    </r>
    <r>
      <rPr>
        <sz val="11"/>
        <rFont val="Arial"/>
        <family val="2"/>
      </rPr>
      <t xml:space="preserve"> - The target annual number of spills (e.g. 10 for most assets)
</t>
    </r>
    <r>
      <rPr>
        <b/>
        <sz val="11"/>
        <rFont val="Arial"/>
        <family val="2"/>
      </rPr>
      <t xml:space="preserve">Total Equivalent Storage (m3) </t>
    </r>
    <r>
      <rPr>
        <sz val="11"/>
        <rFont val="Arial"/>
        <family val="2"/>
      </rPr>
      <t>- This is the spill volume of the n</t>
    </r>
    <r>
      <rPr>
        <vertAlign val="superscript"/>
        <sz val="11"/>
        <rFont val="Arial"/>
        <family val="2"/>
      </rPr>
      <t xml:space="preserve">th </t>
    </r>
    <r>
      <rPr>
        <sz val="11"/>
        <rFont val="Arial"/>
        <family val="2"/>
      </rPr>
      <t xml:space="preserve">+1 spill, when n = the target spill frequency and model predicted annual spills are ranked by volume.  
</t>
    </r>
    <r>
      <rPr>
        <b/>
        <sz val="11"/>
        <rFont val="Arial"/>
        <family val="2"/>
      </rPr>
      <t xml:space="preserve">Equivalent Storage delivered through Grey solutions (CWW20.36 / 7E.13) (m3) </t>
    </r>
    <r>
      <rPr>
        <sz val="11"/>
        <rFont val="Arial"/>
        <family val="2"/>
      </rPr>
      <t xml:space="preserve">- This is the proportion of the equivalent storage delivered through grey solutions. (cost lines CWW3.22-CWW3.24)
</t>
    </r>
    <r>
      <rPr>
        <b/>
        <sz val="11"/>
        <rFont val="Arial"/>
        <family val="2"/>
      </rPr>
      <t>Equivalent Storage delivered through green solutions (CWW20.37 / 7E.14) (m3)</t>
    </r>
    <r>
      <rPr>
        <sz val="11"/>
        <rFont val="Arial"/>
        <family val="2"/>
      </rPr>
      <t xml:space="preserve"> - This is the proportion of the equivalent storage delivered through green solutions. (cost lines CWW3.25-CWW3.27)
</t>
    </r>
    <r>
      <rPr>
        <b/>
        <sz val="11"/>
        <rFont val="Arial"/>
        <family val="2"/>
      </rPr>
      <t xml:space="preserve">Equivalent Storage delivered through other solutions (m3) </t>
    </r>
    <r>
      <rPr>
        <sz val="11"/>
        <rFont val="Arial"/>
        <family val="2"/>
      </rPr>
      <t xml:space="preserve">- This is the proportion of the equivalent storage delivered through other solutions. (cost lines CWW3.25-CWW3.27)
</t>
    </r>
    <r>
      <rPr>
        <b/>
        <sz val="11"/>
        <rFont val="Arial"/>
        <family val="2"/>
      </rPr>
      <t>BP Spill reduction (annual spills)</t>
    </r>
    <r>
      <rPr>
        <sz val="11"/>
        <rFont val="Arial"/>
        <family val="2"/>
      </rPr>
      <t xml:space="preserve"> - This is the number of spills reduced e.g. the current annual spill number minus the target spill number. (CWW3.28 to CWW3.45)
</t>
    </r>
    <r>
      <rPr>
        <b/>
        <sz val="11"/>
        <rFont val="Arial"/>
        <family val="2"/>
      </rPr>
      <t>Company specific</t>
    </r>
    <r>
      <rPr>
        <sz val="11"/>
        <rFont val="Arial"/>
        <family val="2"/>
      </rPr>
      <t xml:space="preserve"> - this column can be used to add any additional company specific measures. 
These terms have the same meaning in the data requested in the 'Spill reduction - STW' worksheet except for the following:
</t>
    </r>
    <r>
      <rPr>
        <b/>
        <sz val="11"/>
        <rFont val="Arial"/>
        <family val="2"/>
      </rPr>
      <t>Equivalent Storage delivered through Grey infrastructure (CWW20.14) (m3)</t>
    </r>
    <r>
      <rPr>
        <sz val="11"/>
        <rFont val="Arial"/>
        <family val="2"/>
      </rPr>
      <t xml:space="preserve"> - This is the proportion of the equivalent storage delivered through grey solutions. (cost lines CWW3.16-CWW3.18)
</t>
    </r>
    <r>
      <rPr>
        <b/>
        <sz val="11"/>
        <rFont val="Arial"/>
        <family val="2"/>
      </rPr>
      <t>Equivalent Storage delivered through green solutions (CWW20.15) (m3)</t>
    </r>
    <r>
      <rPr>
        <sz val="11"/>
        <rFont val="Arial"/>
        <family val="2"/>
      </rPr>
      <t xml:space="preserve"> - This is the proportion of the equivalent storage delivered through green solutions. (cost lines CWW3.19-CWW3.21)
</t>
    </r>
  </si>
  <si>
    <t>PCD groupings for water enhancement expenditure</t>
  </si>
  <si>
    <t xml:space="preserve">Enhancement expenditure - water resources and water network+ </t>
  </si>
  <si>
    <t xml:space="preserve">Line description </t>
  </si>
  <si>
    <t>PR24 BP reference</t>
  </si>
  <si>
    <t>PCD group</t>
  </si>
  <si>
    <t>EA/NRW environmental programme (WINEP/NEP)</t>
  </si>
  <si>
    <t>Biodiversity and conservation; (WINEP/NEP) water capex</t>
  </si>
  <si>
    <t>CW3.1</t>
  </si>
  <si>
    <t>PCDW1</t>
  </si>
  <si>
    <t>Biodiversity and conservation; (WINEP/NEP) water opex</t>
  </si>
  <si>
    <t>CW3.2</t>
  </si>
  <si>
    <t>Biodiversity and conservation; (WINEP/NEP) water totex</t>
  </si>
  <si>
    <t>CW3.3</t>
  </si>
  <si>
    <t>Wetland creation; (WINEP/NEP) water capex</t>
  </si>
  <si>
    <t>CW3.19</t>
  </si>
  <si>
    <t>Wetland creation; (WINEP/NEP) water opex</t>
  </si>
  <si>
    <t>CW3.20</t>
  </si>
  <si>
    <t>Wetland creation; (WINEP/NEP) water totex</t>
  </si>
  <si>
    <t>CW3.21</t>
  </si>
  <si>
    <t>Eels/fish entrainment screens; (WINEP/NEP) water capex</t>
  </si>
  <si>
    <t>CW3.4</t>
  </si>
  <si>
    <t>PCDW2</t>
  </si>
  <si>
    <t>Eels/fish entrainment screens; (WINEP/NEP) water opex</t>
  </si>
  <si>
    <t>CW3.5</t>
  </si>
  <si>
    <t>Eels/fish entrainment screens; (WINEP/NEP) water totex</t>
  </si>
  <si>
    <t>CW3.6</t>
  </si>
  <si>
    <t>Eels/fish passes; (WINEP/NEP) water capex</t>
  </si>
  <si>
    <t>CW3.7</t>
  </si>
  <si>
    <t>Eels/fish passes; (WINEP/NEP) water opex</t>
  </si>
  <si>
    <t>CW3.8</t>
  </si>
  <si>
    <t>Eels/fish passes; (WINEP/NEP) water totex</t>
  </si>
  <si>
    <t>CW3.9</t>
  </si>
  <si>
    <t>Invasive Non Native Species; (WINEP/NEP) water capex</t>
  </si>
  <si>
    <t>CW3.10</t>
  </si>
  <si>
    <t>PCDW3</t>
  </si>
  <si>
    <t>Invasive Non Native Species; (WINEP/NEP) water opex</t>
  </si>
  <si>
    <t>CW3.11</t>
  </si>
  <si>
    <t>Invasive Non Native Species; (WINEP/NEP) water totex</t>
  </si>
  <si>
    <t>CW3.12</t>
  </si>
  <si>
    <t xml:space="preserve">Drinking Water Protected Areas; (WINEP/NEP) water capex </t>
  </si>
  <si>
    <t>CW3.13</t>
  </si>
  <si>
    <t>PCDW4</t>
  </si>
  <si>
    <t>Drinking Water Protected Areas; (WINEP/NEP) water opex</t>
  </si>
  <si>
    <t>CW3.14</t>
  </si>
  <si>
    <t>Drinking Water Protected Areas; (WINEP/NEP) water totex</t>
  </si>
  <si>
    <t>CW3.15</t>
  </si>
  <si>
    <t>Water Framework Directive; (WINEP/NEP) water capex</t>
  </si>
  <si>
    <t>CW3.16</t>
  </si>
  <si>
    <t>PCDW5</t>
  </si>
  <si>
    <t>Water Framework Directive; (WINEP/NEP) water opex</t>
  </si>
  <si>
    <t>CW3.17</t>
  </si>
  <si>
    <t>Water Framework Directive; (WINEP/NEP) water totex</t>
  </si>
  <si>
    <t>CW3.18</t>
  </si>
  <si>
    <t>Trade effluent discharge flow monitoring; (WINEP/NEP) water capex</t>
  </si>
  <si>
    <t>CW3.22</t>
  </si>
  <si>
    <t>PCDW6</t>
  </si>
  <si>
    <t>Trade effluent discharge flow monitoring; (WINEP/NEP) water opex</t>
  </si>
  <si>
    <t>CW3.23</t>
  </si>
  <si>
    <t>Trade effluent discharge flow monitoring; (WINEP/NEP) water totex</t>
  </si>
  <si>
    <t>CW3.24</t>
  </si>
  <si>
    <t>25 year environment plan; (WINEP/NEP) water capex</t>
  </si>
  <si>
    <t>CW3.25</t>
  </si>
  <si>
    <t>PCDW7</t>
  </si>
  <si>
    <t>25 year environment plan; (WINEP/NEP) water opex</t>
  </si>
  <si>
    <t>CW3.26</t>
  </si>
  <si>
    <t>25 year environment plan; (WINEP/NEP) water totex</t>
  </si>
  <si>
    <t>CW3.27</t>
  </si>
  <si>
    <t>Investigations; (WINEP/NEP) - desk based study only water capex</t>
  </si>
  <si>
    <t>CW3.28</t>
  </si>
  <si>
    <t>PCDW8</t>
  </si>
  <si>
    <t>Investigations; (WINEP/NEP) - desk based study only water opex</t>
  </si>
  <si>
    <t>CW3.29</t>
  </si>
  <si>
    <t>Investigations; (WINEP/NEP) - desk based study only water totex</t>
  </si>
  <si>
    <t>CW3.30</t>
  </si>
  <si>
    <t>Investigations; (WINEP/NEP) - survey, monitoring or simple modelling water capex</t>
  </si>
  <si>
    <t>CW3.31</t>
  </si>
  <si>
    <t>Investigations; (WINEP/NEP) - survey, monitoring or simple modelling water opex</t>
  </si>
  <si>
    <t>CW3.32</t>
  </si>
  <si>
    <t>Investigations; (WINEP/NEP) - survey, monitoring or simple modelling water totex</t>
  </si>
  <si>
    <t>CW3.33</t>
  </si>
  <si>
    <t>Investigations; (WINEP/NEP) - multiple surveys, and/or monitoring locations, and/or complex modelling water capex</t>
  </si>
  <si>
    <t>CW3.34</t>
  </si>
  <si>
    <t>Investigations; (WINEP/NEP) - multiple surveys, and/or monitoring locations, and/or complex modelling water opex</t>
  </si>
  <si>
    <t>CW3.35</t>
  </si>
  <si>
    <t>Investigations; (WINEP/NEP) - multiple surveys, and/or monitoring locations, and/or complex modelling water totex</t>
  </si>
  <si>
    <t>CW3.36</t>
  </si>
  <si>
    <t>Investigations total; (WINEP/NEP) water capex</t>
  </si>
  <si>
    <t>CW3.37</t>
  </si>
  <si>
    <t>Investigations total; (WINEP/NEP) water opex</t>
  </si>
  <si>
    <t>CW3.38</t>
  </si>
  <si>
    <t>Investigations total; (WINEP/NEP) water totex</t>
  </si>
  <si>
    <t>CW3.39</t>
  </si>
  <si>
    <t>Total environmental programme expenditure; (WINEP/NEP) water totex</t>
  </si>
  <si>
    <t>CW3.40</t>
  </si>
  <si>
    <t>Supply-demand balance</t>
  </si>
  <si>
    <t>Demand-side improvements delivering benefits in 2025-2030 (excl leakage and metering); SDB capex</t>
  </si>
  <si>
    <t>CW3.44</t>
  </si>
  <si>
    <t>PCDW9</t>
  </si>
  <si>
    <t>Demand-side improvements delivering benefits in 2025-2030 (excl leakage and metering); SDB opex</t>
  </si>
  <si>
    <t>CW3.45</t>
  </si>
  <si>
    <t>Demand-side improvements delivering benefits in 2025-2030 (excl leakage and metering); SDB totex</t>
  </si>
  <si>
    <t>CW3.46</t>
  </si>
  <si>
    <t>Leakage improvements delivering benefits in 2025-2030; SDB capex</t>
  </si>
  <si>
    <t>CW3.47</t>
  </si>
  <si>
    <t>PCDW10</t>
  </si>
  <si>
    <t>Leakage improvements delivering benefits in 2025-2030; SDB opex</t>
  </si>
  <si>
    <t>CW3.48</t>
  </si>
  <si>
    <t>Leakage improvements delivering benefits in 2025-2030; SDB totex</t>
  </si>
  <si>
    <t>CW3.49</t>
  </si>
  <si>
    <t>Supply-side improvements delivering benefits in 2025-2030; SDB capex</t>
  </si>
  <si>
    <t>CW3.41</t>
  </si>
  <si>
    <t>PCDW11</t>
  </si>
  <si>
    <t>Supply-side improvements delivering benefits in 2025-2030; SDB opex</t>
  </si>
  <si>
    <t>CW3.42</t>
  </si>
  <si>
    <t>Supply-side improvements delivering benefits in 2025-2030; SDB totex</t>
  </si>
  <si>
    <t>CW3.43</t>
  </si>
  <si>
    <t>Interconnectors delivering benefits in 2025-2030; SDB capex</t>
  </si>
  <si>
    <t>CW3.50</t>
  </si>
  <si>
    <t>Interconnectors delivering benefits in 2025-2030; SDB opex</t>
  </si>
  <si>
    <t>CW3.51</t>
  </si>
  <si>
    <t>Interconnectors delivering benefits in 2025-2030; SDB totex</t>
  </si>
  <si>
    <t>CW3.52</t>
  </si>
  <si>
    <t>Supply demand balance improvements delivering benefits starting from 2031; SDB capex</t>
  </si>
  <si>
    <t>CW3.53</t>
  </si>
  <si>
    <t>Supply demand balance improvements delivering benefits starting from 2031; SDB opex</t>
  </si>
  <si>
    <t>CW3.54</t>
  </si>
  <si>
    <t>Supply demand balance improvements delivering benefits starting from 2031; SDB totex</t>
  </si>
  <si>
    <t>CW3.55</t>
  </si>
  <si>
    <t>Strategic regional resource solutions; SDB capex</t>
  </si>
  <si>
    <t>CW3.56</t>
  </si>
  <si>
    <t>Strategic regional resource solutions; SDB opex</t>
  </si>
  <si>
    <t>CW3.57</t>
  </si>
  <si>
    <t>Strategic regional resource solutions; SDB totex</t>
  </si>
  <si>
    <t>CW3.58</t>
  </si>
  <si>
    <t>Total supply demand expenditure; SDB totex</t>
  </si>
  <si>
    <t>CW3.59</t>
  </si>
  <si>
    <t>Metering</t>
  </si>
  <si>
    <t>New meters requested by existing customers (optants); metering capex</t>
  </si>
  <si>
    <t>CW3.60</t>
  </si>
  <si>
    <t>PCDW12</t>
  </si>
  <si>
    <t>New meters requested by existing customers (optants); metering opex</t>
  </si>
  <si>
    <t>CW3.61</t>
  </si>
  <si>
    <t>New meters requested by existing customers (optants); metering totex</t>
  </si>
  <si>
    <t>CW3.62</t>
  </si>
  <si>
    <t>New meters introduced by companies for existing customers; metering capex</t>
  </si>
  <si>
    <t>CW3.63</t>
  </si>
  <si>
    <t>New meters introduced by companies for existing customers; metering opex</t>
  </si>
  <si>
    <t>CW3.64</t>
  </si>
  <si>
    <t>New meters introduced by companies for existing customers; metering totex</t>
  </si>
  <si>
    <t>CW3.65</t>
  </si>
  <si>
    <t>New meters for existing customers - business; metering capex</t>
  </si>
  <si>
    <t>CW3.66</t>
  </si>
  <si>
    <t>New meters for existing customers - business; metering opex</t>
  </si>
  <si>
    <t>CW3.67</t>
  </si>
  <si>
    <t>New meters for existing customers - business; metering totex</t>
  </si>
  <si>
    <t>CW3.68</t>
  </si>
  <si>
    <t>Replacement of existing basic meters with AMR meters for residential customers; metering capex</t>
  </si>
  <si>
    <t>CW3.69</t>
  </si>
  <si>
    <t>Replacement of existing basic meters with AMR meters for residential customers; metering opex</t>
  </si>
  <si>
    <t>CW3.70</t>
  </si>
  <si>
    <t>Replacement of existing basic meters with AMR meters for residential customers; metering totex</t>
  </si>
  <si>
    <t>CW3.71</t>
  </si>
  <si>
    <t>Replacement of existing basic meters with AMI meters for residential customers; metering capex</t>
  </si>
  <si>
    <t>CW3.72</t>
  </si>
  <si>
    <t>Replacement of existing basic meters with AMI meters for residential customers; metering opex</t>
  </si>
  <si>
    <t>CW3.73</t>
  </si>
  <si>
    <t>Replacement of existing basic meters with AMI meters for residential customers; metering totex</t>
  </si>
  <si>
    <t>CW3.74</t>
  </si>
  <si>
    <t>Replacement of existing AMR meters with AMI meters for residential customers; metering capex</t>
  </si>
  <si>
    <t>CW3.75</t>
  </si>
  <si>
    <t>Replacement of existing AMR meters with AMI meters for residential customers; metering opex</t>
  </si>
  <si>
    <t>CW3.76</t>
  </si>
  <si>
    <t>Replacement of existing AMR meters with AMI meters for residential customers; metering totex</t>
  </si>
  <si>
    <t>CW3.77</t>
  </si>
  <si>
    <t>Replacement of existing basic meters with AMR meters for business customers; metering capex</t>
  </si>
  <si>
    <t>CW3.78</t>
  </si>
  <si>
    <t>Replacement of existing basic meters with AMR meters for business customers; metering opex</t>
  </si>
  <si>
    <t>CW3.79</t>
  </si>
  <si>
    <t>Replacement of existing basic meters with AMR meters for business customers; metering totex</t>
  </si>
  <si>
    <t>CW3.80</t>
  </si>
  <si>
    <t>Replacement of existing basic meters with AMI meters for business customers; metering capex</t>
  </si>
  <si>
    <t>CW3.81</t>
  </si>
  <si>
    <t>Replacement of existing basic meters with AMI meters for business customers; metering opex</t>
  </si>
  <si>
    <t>CW3.82</t>
  </si>
  <si>
    <t>Replacement of existing basic meters with AMI meters for business customers; metering totex</t>
  </si>
  <si>
    <t>CW3.83</t>
  </si>
  <si>
    <t>Replacement of existing AMR meters with AMI meters for business customers; metering capex</t>
  </si>
  <si>
    <t>CW3.84</t>
  </si>
  <si>
    <t>Replacement of existing AMR meters with AMI meters for business customers; metering opex</t>
  </si>
  <si>
    <t>CW3.85</t>
  </si>
  <si>
    <t>Replacement of existing AMR meters with AMI meters for business customers; metering totex</t>
  </si>
  <si>
    <t>CW3.86</t>
  </si>
  <si>
    <t>Smart meter infrastructure; metering capex</t>
  </si>
  <si>
    <t>CW3.87</t>
  </si>
  <si>
    <t>Smart meter infrastructure; metering opex</t>
  </si>
  <si>
    <t>CW3.88</t>
  </si>
  <si>
    <t>Smart meter infrastructure; metering totex</t>
  </si>
  <si>
    <t>CW3.89</t>
  </si>
  <si>
    <t>Total metering expenditure; metering totex</t>
  </si>
  <si>
    <t>CW3.90</t>
  </si>
  <si>
    <t>Water quality improvements</t>
  </si>
  <si>
    <t>Improvements to taste, odour and colour (grey solutions); enhancement capex</t>
  </si>
  <si>
    <t>CW3.91</t>
  </si>
  <si>
    <t>PCDW13</t>
  </si>
  <si>
    <t>Improvements to taste, odour and colour (grey solutions); enhancement opex</t>
  </si>
  <si>
    <t>CW3.92</t>
  </si>
  <si>
    <t>Improvements to taste, odour and colour (grey solutions); enhancement totex</t>
  </si>
  <si>
    <t>CW3.93</t>
  </si>
  <si>
    <t>Improvements to taste, odour and colour (green solutions); enhancement capex</t>
  </si>
  <si>
    <t>CW3.94</t>
  </si>
  <si>
    <t>Improvements to taste, odour and colour (green solutions); enhancement opex</t>
  </si>
  <si>
    <t>CW3.95</t>
  </si>
  <si>
    <t>Improvements to taste, odour and colour (green solutions); enhancement totex</t>
  </si>
  <si>
    <t>CW3.96</t>
  </si>
  <si>
    <t>Addressing raw water quality deterioration (grey solutions); enhancement capex</t>
  </si>
  <si>
    <t>CW3.97</t>
  </si>
  <si>
    <t>PCDW14</t>
  </si>
  <si>
    <t>Addressing raw water quality deterioration (grey solutions); enhancement opex</t>
  </si>
  <si>
    <t>CW3.98</t>
  </si>
  <si>
    <t>Addressing raw water quality deterioration (grey solutions); ; enhancement totex</t>
  </si>
  <si>
    <t>CW3.99</t>
  </si>
  <si>
    <t>Addressing raw water quality deterioration (green solutions); enhancement capex</t>
  </si>
  <si>
    <t>CW3.100</t>
  </si>
  <si>
    <t>Addressing raw water quality deterioration (green solutions); enhancement opex</t>
  </si>
  <si>
    <t>CW3.101</t>
  </si>
  <si>
    <t>Addressing raw water quality deterioration (green solutions); enhancement totex</t>
  </si>
  <si>
    <t>CW3.102</t>
  </si>
  <si>
    <t>Conditioning water to reduce plumbosolvency for water quality; enhancement capex</t>
  </si>
  <si>
    <t>CW3.103</t>
  </si>
  <si>
    <t>PCDW15</t>
  </si>
  <si>
    <t>Conditioning water to reduce plumbosolvency for water quality; enhancement opex</t>
  </si>
  <si>
    <t>CW3.104</t>
  </si>
  <si>
    <t>Conditioning water to reduce plumbosolvency for water quality; enhancement totex</t>
  </si>
  <si>
    <t>CW3.105</t>
  </si>
  <si>
    <t>Lead communication pipes replaced or relined; enhancement capex</t>
  </si>
  <si>
    <t>CW3.106</t>
  </si>
  <si>
    <t>Lead communication pipes replaced or relined; enhancement opex</t>
  </si>
  <si>
    <t>CW3.107</t>
  </si>
  <si>
    <t>Lead communication pipes replaced or relined; enhancement totex</t>
  </si>
  <si>
    <t>CW3.108</t>
  </si>
  <si>
    <t>External lead supply pipes replaced or relined; enhancement capex</t>
  </si>
  <si>
    <t>CW3.109</t>
  </si>
  <si>
    <t>External lead supply pipes replaced or relined; enhancement opex</t>
  </si>
  <si>
    <t>CW3.110</t>
  </si>
  <si>
    <t>External lead supply pipes replaced or relined; enhancement totex</t>
  </si>
  <si>
    <t>CW3.111</t>
  </si>
  <si>
    <t>Internal lead supply pipes replaced or relined; enhancement capex</t>
  </si>
  <si>
    <t>CW3.112</t>
  </si>
  <si>
    <t>Internal lead supply pipes replaced or relined; enhancement opex</t>
  </si>
  <si>
    <t>CW3.113</t>
  </si>
  <si>
    <t>Internal lead supply pipes replaced or relined; enhancement totex</t>
  </si>
  <si>
    <t>CW3.114</t>
  </si>
  <si>
    <t>Other lead reduction related activity; enhancement capex</t>
  </si>
  <si>
    <t>CW3.115</t>
  </si>
  <si>
    <t>Other lead reduction related activity; enhancement opex</t>
  </si>
  <si>
    <t>CW3.116</t>
  </si>
  <si>
    <t>Other lead reduction related activity; enhancement totex</t>
  </si>
  <si>
    <t>CW3.117</t>
  </si>
  <si>
    <t>Water resilience and security</t>
  </si>
  <si>
    <t>Resilience; enhancement water capex</t>
  </si>
  <si>
    <t>CW3.118</t>
  </si>
  <si>
    <t>PCDW16</t>
  </si>
  <si>
    <t>Resilience; enhancement water opex</t>
  </si>
  <si>
    <t>CW3.119</t>
  </si>
  <si>
    <t>Resilience; enhancement water totex</t>
  </si>
  <si>
    <t>CW3.120</t>
  </si>
  <si>
    <t>Security - SEMD; enhancement water capex</t>
  </si>
  <si>
    <t>CW3.121</t>
  </si>
  <si>
    <t>PCDW17</t>
  </si>
  <si>
    <t>Security - SEMD; enhancement water opex</t>
  </si>
  <si>
    <t>CW3.122</t>
  </si>
  <si>
    <t>Security - SEMD; enhancement water totex</t>
  </si>
  <si>
    <t>CW3.123</t>
  </si>
  <si>
    <t>Security - Cyber; enhancement water capex</t>
  </si>
  <si>
    <t>CW3.124</t>
  </si>
  <si>
    <t>Security - Cyber; enhancement water opex</t>
  </si>
  <si>
    <t>CW3.125</t>
  </si>
  <si>
    <t>Security - Cyber; enhancement water totex</t>
  </si>
  <si>
    <t>CW3.126</t>
  </si>
  <si>
    <t>Net zero</t>
  </si>
  <si>
    <t>Greenhouse gas reduction (net zero); enhancement water capex</t>
  </si>
  <si>
    <t>CW3.127</t>
  </si>
  <si>
    <t>PCDW18</t>
  </si>
  <si>
    <t>Greenhouse gas reduction (net zero); enhancement water opex</t>
  </si>
  <si>
    <t>CW3.128</t>
  </si>
  <si>
    <t>Greenhouse gas reduction (net zero); enhancement water totex</t>
  </si>
  <si>
    <t>CW3.129</t>
  </si>
  <si>
    <t>Other enhancement (Freeform lines - by exception)</t>
  </si>
  <si>
    <t>Additional line 1; enhancement water capex</t>
  </si>
  <si>
    <t>CW3.130</t>
  </si>
  <si>
    <t>PCDW19</t>
  </si>
  <si>
    <t>Additional line 1; enhancement water opex</t>
  </si>
  <si>
    <t>CW3.131</t>
  </si>
  <si>
    <t>Additional line 2; enhancement water capex</t>
  </si>
  <si>
    <t>CW3.132</t>
  </si>
  <si>
    <t>PCDW20</t>
  </si>
  <si>
    <t>Additional line 2; enhancement water opex</t>
  </si>
  <si>
    <t>CW3.133</t>
  </si>
  <si>
    <t>Additional line 3; enhancement water capex</t>
  </si>
  <si>
    <t>CW3.134</t>
  </si>
  <si>
    <t>PCDW21</t>
  </si>
  <si>
    <t>Additional line 3; enhancement water opex</t>
  </si>
  <si>
    <t>CW3.135</t>
  </si>
  <si>
    <t>Additional line 4; enhancement water capex</t>
  </si>
  <si>
    <t>CW3.136</t>
  </si>
  <si>
    <t>PCDW22</t>
  </si>
  <si>
    <t>Additional line 4; enhancement water opex</t>
  </si>
  <si>
    <t>CW3.137</t>
  </si>
  <si>
    <t>Additional line 5; enhancement water capex</t>
  </si>
  <si>
    <t>CW3.138</t>
  </si>
  <si>
    <t>PCDW23</t>
  </si>
  <si>
    <t>Additional line 5; enhancement water opex</t>
  </si>
  <si>
    <t>CW3.139</t>
  </si>
  <si>
    <t>Total other enhancement water expenditure</t>
  </si>
  <si>
    <t>CW3.140</t>
  </si>
  <si>
    <t>Total enhancement</t>
  </si>
  <si>
    <t>Total enhancement expenditure; water capex</t>
  </si>
  <si>
    <t>CW3.141</t>
  </si>
  <si>
    <t>Total enhancement expenditure; water opex</t>
  </si>
  <si>
    <t>CW3.142</t>
  </si>
  <si>
    <t>Total enhancement expenditure; water totex</t>
  </si>
  <si>
    <t>CW3.143</t>
  </si>
  <si>
    <t>PCD groupings for wastewater enhancement expenditure</t>
  </si>
  <si>
    <t>Enhancement expenditure - wastewater network+ and bioresources</t>
  </si>
  <si>
    <t>EA/NRW environmental programme wastewater (WINEP/NEP)</t>
  </si>
  <si>
    <t>Event duration monitoring at intermittent discharges (WINEP/NEP) wastewater capex</t>
  </si>
  <si>
    <t>CWW3.1</t>
  </si>
  <si>
    <t>PCDWW1</t>
  </si>
  <si>
    <t>Event duration monitoring at intermittent discharges (WINEP/NEP) wastewater opex</t>
  </si>
  <si>
    <t>CWW3.2</t>
  </si>
  <si>
    <t>Event duration monitoring at intermittent discharges (WINEP/NEP) wastewater totex</t>
  </si>
  <si>
    <t>CWW3.3</t>
  </si>
  <si>
    <t>Flow monitoring at sewage treatment works; (WINEP/NEP) wastewater capex</t>
  </si>
  <si>
    <t>CWW3.4</t>
  </si>
  <si>
    <t>PCDWW2</t>
  </si>
  <si>
    <t>Flow monitoring at sewage treatment works; (WINEP/NEP) wastewater opex</t>
  </si>
  <si>
    <t>CWW3.5</t>
  </si>
  <si>
    <t>Flow monitoring at sewage treatment works; (WINEP/NEP) wastewater totex</t>
  </si>
  <si>
    <t>CWW3.6</t>
  </si>
  <si>
    <t>Continuous river water quality monitoring (WINEP/NEP) wastewater capex</t>
  </si>
  <si>
    <t>CWW3.7</t>
  </si>
  <si>
    <t>Continuous river water quality monitoring (WINEP/NEP) wastewater opex</t>
  </si>
  <si>
    <t>CWW3.8</t>
  </si>
  <si>
    <t>Continuous river water quality monitoring (WINEP/NEP) wastewater totex</t>
  </si>
  <si>
    <t>CWW3.9</t>
  </si>
  <si>
    <t>MCERTs monitoring at emergency sewage pumping station overflows (WINEP/NEP) wastewater capex</t>
  </si>
  <si>
    <t>CWW3.10</t>
  </si>
  <si>
    <t>PCDWW3</t>
  </si>
  <si>
    <t>MCERTs monitoring at emergency sewage pumping station overflows (WINEP/NEP) wastewater opex</t>
  </si>
  <si>
    <t>CWW3.11</t>
  </si>
  <si>
    <t>MCERTs monitoring at emergency sewage pumping station overflows (WINEP/NEP) wastewater totex</t>
  </si>
  <si>
    <t>CWW3.12</t>
  </si>
  <si>
    <t>Increase flow to full treatment; (WINEP/NEP) wastewater capex</t>
  </si>
  <si>
    <t>CWW3.13</t>
  </si>
  <si>
    <t>PCDWW4</t>
  </si>
  <si>
    <t>Increase flow to full treatment; (WINEP/NEP) wastewater opex</t>
  </si>
  <si>
    <t>CWW3.14</t>
  </si>
  <si>
    <t>Increase flow to full treatment; (WINEP/NEP) wastewater totex</t>
  </si>
  <si>
    <t>CWW3.15</t>
  </si>
  <si>
    <t>Increase storm tank capacity at STWs - grey solution; (WINEP/NEP) wastewater capex</t>
  </si>
  <si>
    <t>CWW3.16</t>
  </si>
  <si>
    <t>PCDWW5</t>
  </si>
  <si>
    <t>Increase storm tank capacity at STWs - grey solution; (WINEP/NEP) wastewater opex</t>
  </si>
  <si>
    <t>CWW3.17</t>
  </si>
  <si>
    <t>Increase storm tank capacity at STWs - grey solution; (WINEP/NEP) wastewater totex</t>
  </si>
  <si>
    <t>CWW3.18</t>
  </si>
  <si>
    <t>Increase storm system attenuation / treatment on a STW - green solution; (WINEP/NEP) wastewater capex</t>
  </si>
  <si>
    <t>CWW3.19</t>
  </si>
  <si>
    <t>Increase storm system attenuation / treatment on a STW - green solution; (WINEP/NEP) wastewater opex</t>
  </si>
  <si>
    <t>CWW3.20</t>
  </si>
  <si>
    <t>Increase storm system attenuation / treatment on a STW - green solution; (WINEP/NEP) wastewater totex</t>
  </si>
  <si>
    <t>CWW3.21</t>
  </si>
  <si>
    <t>Storage schemes to reduce spill frequency at CSOs etc - grey solution; (WINEP/NEP) wastewater capex</t>
  </si>
  <si>
    <t>CWW3.22</t>
  </si>
  <si>
    <t>Storage schemes to reduce spill frequency at CSOs etc - grey solution; (WINEP/NEP) wastewater opex</t>
  </si>
  <si>
    <t>CWW3.23</t>
  </si>
  <si>
    <t>Storage schemes to reduce spill frequency at CSOs etc - grey solution; (WINEP/NEP) wastewater totex</t>
  </si>
  <si>
    <t>CWW3.24</t>
  </si>
  <si>
    <t>Storage to reduce spill frequency at CSOs etc - green solution; (WINEP/NEP) wastewater capex</t>
  </si>
  <si>
    <t>CWW3.25</t>
  </si>
  <si>
    <t>Storage to reduce spill frequency at CSOs etc - green solution; (WINEP/NEP) wastewater opex</t>
  </si>
  <si>
    <t>CWW3.26</t>
  </si>
  <si>
    <t>Storage to reduce spill frequency at CSOs etc - green solution; (WINEP/NEP) wastewater totex</t>
  </si>
  <si>
    <t>CWW3.27</t>
  </si>
  <si>
    <t>Storm overflow - discharge relocation (WINEP/NEP) wastewater capex</t>
  </si>
  <si>
    <t>CWW3.28</t>
  </si>
  <si>
    <t>Storm overflow - discharge relocation (WINEP/NEP) wastewater opex</t>
  </si>
  <si>
    <t>CWW3.29</t>
  </si>
  <si>
    <t>Storm overflow - discharge relocation (WINEP/NEP) wastewater totex</t>
  </si>
  <si>
    <t>CWW3.30</t>
  </si>
  <si>
    <t xml:space="preserve">Storm overflow - increase in combined sewer / trunk sewer capacity; (WINEP/NEP) wastewater capex </t>
  </si>
  <si>
    <t>CWW3.31</t>
  </si>
  <si>
    <t xml:space="preserve">Storm overflow - increase in combined sewer / trunk sewer capacity; (WINEP/NEP) wastewater opex </t>
  </si>
  <si>
    <t>CWW3.32</t>
  </si>
  <si>
    <t xml:space="preserve">Storm overflow - increase in combined sewer / trunk sewer capacity; (WINEP/NEP) wastewater totex </t>
  </si>
  <si>
    <t>CWW3.33</t>
  </si>
  <si>
    <t>Storm overflow - sustainable drainage / attenuation in the network; (WINEP/NEP) wastewater capex</t>
  </si>
  <si>
    <t>CWW3.34</t>
  </si>
  <si>
    <t>Storm overflow - sustainable drainage / attenuation in the network; (WINEP/NEP) wastewater opex</t>
  </si>
  <si>
    <t>CWW3.35</t>
  </si>
  <si>
    <t>Storm overflow - sustainable drainage / attenuation in the network; (WINEP/NEP) wastewater totex</t>
  </si>
  <si>
    <t>CWW3.36</t>
  </si>
  <si>
    <t>Storm overflow - source surface water separation; (WINEP/NEP) wastewater capex</t>
  </si>
  <si>
    <t>CWW3.37</t>
  </si>
  <si>
    <t>Storm overflow - source surface water separation; (WINEP/NEP) wastewater opex</t>
  </si>
  <si>
    <t>CWW3.38</t>
  </si>
  <si>
    <t>Storm overflow - source surface water separation; (WINEP/NEP) wastewater totex</t>
  </si>
  <si>
    <t>CWW3.39</t>
  </si>
  <si>
    <t>Storm overflow - infiltration management: wastewater capex</t>
  </si>
  <si>
    <t>CWW3.40</t>
  </si>
  <si>
    <t>Storm overflow - infiltration management: wastewater opex</t>
  </si>
  <si>
    <t>CWW3.41</t>
  </si>
  <si>
    <t>Storm overflow - infiltration management: wastewater totex</t>
  </si>
  <si>
    <t>CWW3.42</t>
  </si>
  <si>
    <t>Storm overflow - sewer flow management and control; (WINEP/NEP) wastewater capex</t>
  </si>
  <si>
    <t>CWW3.43</t>
  </si>
  <si>
    <t>Storm overflow - sewer flow management and control; (WINEP/NEP) wastewater opex</t>
  </si>
  <si>
    <t>CWW3.44</t>
  </si>
  <si>
    <t>Storm overflow - sewer flow management and control; (WINEP/NEP) wastewater totex</t>
  </si>
  <si>
    <t>CWW3.45</t>
  </si>
  <si>
    <t>Storm overflow - new / upgraded screens (WINEP/NEP) wastewater capex</t>
  </si>
  <si>
    <t>CWW3.46</t>
  </si>
  <si>
    <t>PCDWW6</t>
  </si>
  <si>
    <t>Storm overflow - new / upgraded screens (WINEP/NEP) wastewater opex</t>
  </si>
  <si>
    <t>CWW3.47</t>
  </si>
  <si>
    <t>Storm overflow - new / upgraded screens (WINEP/NEP) wastewater totex</t>
  </si>
  <si>
    <t>CWW3.48</t>
  </si>
  <si>
    <t>Treatment for chemical removal (WINEP/NEP) wastewater capex</t>
  </si>
  <si>
    <t>CWW3.49</t>
  </si>
  <si>
    <t>PCDWW7</t>
  </si>
  <si>
    <t>Treatment for chemical removal (WINEP/NEP) wastewater opex</t>
  </si>
  <si>
    <t>CWW3.50</t>
  </si>
  <si>
    <t>Treatment for chemical removal (WINEP/NEP) wastewater totex</t>
  </si>
  <si>
    <t>CWW3.51</t>
  </si>
  <si>
    <t>Chemicals and emerging contaminants monitoring, investigations, options appraisals; (WINEP/NEP) wastewater capex</t>
  </si>
  <si>
    <t>CWW3.52</t>
  </si>
  <si>
    <t>PCDWW8</t>
  </si>
  <si>
    <t>Chemicals and emerging contaminants monitoring, investigations, options appraisals; (WINEP/NEP) wastewater opex</t>
  </si>
  <si>
    <t>CWW3.53</t>
  </si>
  <si>
    <t>Chemicals and emerging contaminants monitoring, investigations, options appraisals; (WINEP/NEP) wastewater totex</t>
  </si>
  <si>
    <t>CWW3.54</t>
  </si>
  <si>
    <t>Treatment for total nitrogen removal (chemical) (WINEP/NEP) wastewater capex</t>
  </si>
  <si>
    <t>CWW3.55</t>
  </si>
  <si>
    <t>PCDWW9</t>
  </si>
  <si>
    <t>Treatment for total nitrogen removal (chemical) (WINEP/NEP) wastewater opex</t>
  </si>
  <si>
    <t>CWW3.56</t>
  </si>
  <si>
    <t>Treatment for total nitrogen removal (chemical) (WINEP/NEP) wastewater totex</t>
  </si>
  <si>
    <t>CWW3.57</t>
  </si>
  <si>
    <t>Treatment for total nitrogen removal (biological) (WINEP/NEP) wastewater capex</t>
  </si>
  <si>
    <t>CWW3.58</t>
  </si>
  <si>
    <t>Treatment for total nitrogen removal (biological) (WINEP/NEP) wastewater opex</t>
  </si>
  <si>
    <t>CWW3.59</t>
  </si>
  <si>
    <t>Treatment for total nitrogen removal (biological) (WINEP/NEP) wastewater totex</t>
  </si>
  <si>
    <t>CWW3.60</t>
  </si>
  <si>
    <t>Nitrogen technically achievable limit monitoring, investigation or options appraisal; (WINEP/NEP) wastewater capex</t>
  </si>
  <si>
    <t>CWW3.61</t>
  </si>
  <si>
    <t>Nitrogen technically achievable limit monitoring, investigation or options appraisal; (WINEP/NEP) wastewater opex</t>
  </si>
  <si>
    <t>CWW3.62</t>
  </si>
  <si>
    <t>Nitrogen technically achievable limit monitoring, investigation or options appraisal; (WINEP/NEP) wastewater totex</t>
  </si>
  <si>
    <t>CWW3.63</t>
  </si>
  <si>
    <t>Treatment for phosphorus removal (chemical) (WINEP/NEP) wastewater capex</t>
  </si>
  <si>
    <t>CWW3.64</t>
  </si>
  <si>
    <t>PCDWW10</t>
  </si>
  <si>
    <t>Treatment for phosphorus removal (chemical) (WINEP/NEP) wastewater opex</t>
  </si>
  <si>
    <t>CWW3.65</t>
  </si>
  <si>
    <t>Treatment for phosphorus removal (chemical) (WINEP/NEP) wastewater totex</t>
  </si>
  <si>
    <t>CWW3.66</t>
  </si>
  <si>
    <t>Treatment for phosphorus removal (biological) (WINEP/NEP) wastewater capex</t>
  </si>
  <si>
    <t>CWW3.67</t>
  </si>
  <si>
    <t>Treatment for phosphorus removal (biological) (WINEP/NEP) wastewater opex</t>
  </si>
  <si>
    <t>CWW3.68</t>
  </si>
  <si>
    <t>Treatment for phosphorus removal (biological) (WINEP/NEP) wastewater totex</t>
  </si>
  <si>
    <t>CWW3.69</t>
  </si>
  <si>
    <t>Treatment for nutrients (N or P) and / or sanitary determinands, nature based solution (WINEP/NEP) wastewater capex</t>
  </si>
  <si>
    <t>CWW3.70</t>
  </si>
  <si>
    <t>PCDWW11</t>
  </si>
  <si>
    <t>Treatment for nutrients (N or P) and / or sanitary determinands, nature based solution (WINEP/NEP) wastewater opex</t>
  </si>
  <si>
    <t>CWW3.71</t>
  </si>
  <si>
    <t>Treatment for nutrients (N or P) and / or sanitary determinands, nature based solution (WINEP/NEP) wastewater totex</t>
  </si>
  <si>
    <t>CWW3.72</t>
  </si>
  <si>
    <t>Treatment for tightening of sanitary parameters (WINEP/NEP) wastewater capex</t>
  </si>
  <si>
    <t>CWW3.73</t>
  </si>
  <si>
    <t>PCDWW12</t>
  </si>
  <si>
    <t>Treatment for tightening of sanitary parameters (WINEP/NEP) wastewater opex</t>
  </si>
  <si>
    <t>CWW3.74</t>
  </si>
  <si>
    <t>Treatment for tightening of sanitary parameters (WINEP/NEP) wastewater totex</t>
  </si>
  <si>
    <t>CWW3.75</t>
  </si>
  <si>
    <t>Catchment management - chemicals source control; (WINEP/NEP) wastewater capex</t>
  </si>
  <si>
    <t>CWW3.76</t>
  </si>
  <si>
    <t>PCDWW13</t>
  </si>
  <si>
    <t>Catchment management - chemicals source control; (WINEP/NEP) wastewater opex</t>
  </si>
  <si>
    <t>CWW3.77</t>
  </si>
  <si>
    <t>Catchment management - chemicals source control; (WINEP/NEP) wastewater totex</t>
  </si>
  <si>
    <t>CWW3.78</t>
  </si>
  <si>
    <t>Catchment management - nutrient balancing; (WINEP/NEP) wastewater capex</t>
  </si>
  <si>
    <t>CWW3.79</t>
  </si>
  <si>
    <t>Catchment management - nutrient balancing; (WINEP/NEP) wastewater opex</t>
  </si>
  <si>
    <t>CWW3.80</t>
  </si>
  <si>
    <t>Catchment management - nutrient balancing; (WINEP/NEP) wastewater totex</t>
  </si>
  <si>
    <t>CWW3.81</t>
  </si>
  <si>
    <t>Catchment management - catchment permitting; (WINEP/NEP) wastewater capex</t>
  </si>
  <si>
    <t>CWW3.82</t>
  </si>
  <si>
    <t>Catchment management - catchment permitting; (WINEP/NEP) wastewater opex</t>
  </si>
  <si>
    <t>CWW3.83</t>
  </si>
  <si>
    <t>Catchment management - catchment permitting; (WINEP/NEP) wastewater totex</t>
  </si>
  <si>
    <t>CWW3.84</t>
  </si>
  <si>
    <t>Catchment management - habitat restoration; (WINEP/NEP) wastewater capex</t>
  </si>
  <si>
    <t>CWW3.85</t>
  </si>
  <si>
    <t>Catchment management - habitat restoration; (WINEP/NEP) wastewater opex</t>
  </si>
  <si>
    <t>CWW3.86</t>
  </si>
  <si>
    <t>Catchment management - habitat restoration; (WINEP/NEP) wastewater totex</t>
  </si>
  <si>
    <t>CWW3.87</t>
  </si>
  <si>
    <t>Microbiological treatment - bathing waters, coastal and inland (WINEP/NEP) wastewater capex</t>
  </si>
  <si>
    <t>CWW3.88</t>
  </si>
  <si>
    <t>PCDWW14</t>
  </si>
  <si>
    <t>Microbiological treatment - bathing waters, coastal and inland (WINEP/NEP) wastewater opex</t>
  </si>
  <si>
    <t>CWW3.89</t>
  </si>
  <si>
    <t>Microbiological treatment - bathing waters, coastal and inland (WINEP/NEP) wastewater totex</t>
  </si>
  <si>
    <t>CWW3.90</t>
  </si>
  <si>
    <t>Septic tank replacements - treatment solution; (WINEP/NEP) wastewater capex</t>
  </si>
  <si>
    <t>CWW3.91</t>
  </si>
  <si>
    <t>PCDWW15</t>
  </si>
  <si>
    <t>Septic tank replacements - treatment solution; (WINEP/NEP) wastewater opex</t>
  </si>
  <si>
    <t>CWW3.92</t>
  </si>
  <si>
    <t>Septic tank replacements - treatment solution; (WINEP/NEP) wastewater totex</t>
  </si>
  <si>
    <t>CWW3.93</t>
  </si>
  <si>
    <t>Septic tank replacements - flow diversion; (WINEP/NEP) wastewater capex</t>
  </si>
  <si>
    <t>CWW3.94</t>
  </si>
  <si>
    <t>Septic tank replacements - flow diversion; (WINEP/NEP) wastewater opex</t>
  </si>
  <si>
    <t>CWW3.95</t>
  </si>
  <si>
    <t>Septic tank replacements - flow diversion; (WINEP/NEP) wastewater totex</t>
  </si>
  <si>
    <t>CWW3.96</t>
  </si>
  <si>
    <t>Fish outfall screens; (WINEP/NEP) wastewater capex</t>
  </si>
  <si>
    <t>CWW3.97</t>
  </si>
  <si>
    <t>PCDWW16</t>
  </si>
  <si>
    <t>Fish outfall screens; (WINEP/NEP) wastewater opex</t>
  </si>
  <si>
    <t>CWW3.98</t>
  </si>
  <si>
    <t>Fish outfall screens; (WINEP/NEP) wastewater totex</t>
  </si>
  <si>
    <t>CWW3.99</t>
  </si>
  <si>
    <t>25 year environment plan; (WINEP/NEP) wastewater capex</t>
  </si>
  <si>
    <t>CWW3.100</t>
  </si>
  <si>
    <t>PCDWW17</t>
  </si>
  <si>
    <t>25 year environment plan; (WINEP/NEP) wastewater opex</t>
  </si>
  <si>
    <t>CWW3.101</t>
  </si>
  <si>
    <t>25 year environment plan; (WINEP/NEP) wastewater totex</t>
  </si>
  <si>
    <t>CWW3.102</t>
  </si>
  <si>
    <t>Investigations, other (WINEP/NEP) - desk-based studies only wastewater capex</t>
  </si>
  <si>
    <t>CWW3.103</t>
  </si>
  <si>
    <t>PCDWW18</t>
  </si>
  <si>
    <t>Investigations, other (WINEP/NEP) - desk-based studies only wastewater opex</t>
  </si>
  <si>
    <t>CWW3.104</t>
  </si>
  <si>
    <t>Investigations, other (WINEP/NEP) - desk-based studies only wastewater totex</t>
  </si>
  <si>
    <t>CWW3.105</t>
  </si>
  <si>
    <t>Investigations, other (WINEP/NEP) - survey, monitoring or simple modelling wastewater capex</t>
  </si>
  <si>
    <t>CWW3.106</t>
  </si>
  <si>
    <t>Investigations, other (WINEP/NEP) - survey, monitoring or simple modelling wastewater opex</t>
  </si>
  <si>
    <t>CWW3.107</t>
  </si>
  <si>
    <t>Investigations, other (WINEP/NEP) - survey, monitoring or simple modelling wastewater totex</t>
  </si>
  <si>
    <t>CWW3.108</t>
  </si>
  <si>
    <t>Investigations, other (WINEP/NEP) - multiple surveys, and/or monitoring locations, and/or complex modelling wastewater capex</t>
  </si>
  <si>
    <t>CWW3.109</t>
  </si>
  <si>
    <t>Investigations, other (WINEP/NEP) - multiple surveys, and/or monitoring locations, and/or complex modelling wastewater opex</t>
  </si>
  <si>
    <t>CWW3.110</t>
  </si>
  <si>
    <t>Investigations, other (WINEP/NEP) - multiple surveys, and/or monitoring locations, and/or complex modelling wastewater totex</t>
  </si>
  <si>
    <t>CWW3.111</t>
  </si>
  <si>
    <t>Investigations, total; (WINEP/NEP) wastewater capex</t>
  </si>
  <si>
    <t>CWW3.112</t>
  </si>
  <si>
    <t>Investigations, total; (WINEP/NEP) wastewater opex</t>
  </si>
  <si>
    <t>CWW3.113</t>
  </si>
  <si>
    <t>Investigations, total; (WINEP/NEP) wastewater totex</t>
  </si>
  <si>
    <t>CWW3.114</t>
  </si>
  <si>
    <t>Contribution to third party schemes under WINEP/NEP only (not covered elsewhere) wastewater capex</t>
  </si>
  <si>
    <t>CWW3.115</t>
  </si>
  <si>
    <t>PCDWW19</t>
  </si>
  <si>
    <t>Contribution to third party schemes under WINEP/NEP only (not covered elsewhere) wastewater opex</t>
  </si>
  <si>
    <t>CWW3.116</t>
  </si>
  <si>
    <t>Contribution to third party schemes under WINEP/NEP only (not covered elsewhere) wastewater totex</t>
  </si>
  <si>
    <t>CWW3.117</t>
  </si>
  <si>
    <t>River connectivity (e.g. for fish passage); (WINEP/NEP) wastewater capex</t>
  </si>
  <si>
    <t>CWW3.118</t>
  </si>
  <si>
    <t>PCDWW20</t>
  </si>
  <si>
    <t>River connectivity (e.g. for fish passage); (WINEP/NEP) wastewater opex</t>
  </si>
  <si>
    <t>CWW3.119</t>
  </si>
  <si>
    <t>River connectivity (e.g. for fish passage); (WINEP/NEP) wastewater totex</t>
  </si>
  <si>
    <t>CWW3.120</t>
  </si>
  <si>
    <t>Restoration management (marine conservation zones etc) (WINEP/NEP) wastewater capex</t>
  </si>
  <si>
    <t>CWW3.121</t>
  </si>
  <si>
    <t>PCDWW21</t>
  </si>
  <si>
    <t>Restoration management (marine conservation zones etc) (WINEP/NEP) wastewater opex</t>
  </si>
  <si>
    <t>CWW3.122</t>
  </si>
  <si>
    <t>Restoration management (marine conservation zones etc) (WINEP/NEP) wastewater totex</t>
  </si>
  <si>
    <t>CWW3.123</t>
  </si>
  <si>
    <t>Access and amenity for WINEP/NEP only (not covered elsewhere) wastewater capex</t>
  </si>
  <si>
    <t>CWW3.124</t>
  </si>
  <si>
    <t>PCDWW22</t>
  </si>
  <si>
    <t>Access and amenity for WINEP/NEP only (not covered elsewhere) wastewater opex</t>
  </si>
  <si>
    <t>CWW3.125</t>
  </si>
  <si>
    <t>Access and amenity for WINEP/NEP only (not covered elsewhere) wastewater totex</t>
  </si>
  <si>
    <t>CWW3.126</t>
  </si>
  <si>
    <t>Advanced WINEP (not covered elsewhere) wastewater capex</t>
  </si>
  <si>
    <t>CWW3.127</t>
  </si>
  <si>
    <t>PCDWW23</t>
  </si>
  <si>
    <t>Advanced WINEP (not covered elsewhere) wastewater opex</t>
  </si>
  <si>
    <t>CWW3.128</t>
  </si>
  <si>
    <t>Advanced WINEP (not covered elsewhere) wastewater totex</t>
  </si>
  <si>
    <t>CWW3.129</t>
  </si>
  <si>
    <t>Total environmental programme expenditure; (WINEP/NEP) wastewater totex</t>
  </si>
  <si>
    <t>CWW3.130</t>
  </si>
  <si>
    <t>EA/NRW environmental programme bioresources (WINEP/NEP)</t>
  </si>
  <si>
    <t>Sludge storage -Tanks (pre-thickening, pre-dewatering or untreated) (WINEP/NEP) capex</t>
  </si>
  <si>
    <t>CWW3.131</t>
  </si>
  <si>
    <t>PCDWW24</t>
  </si>
  <si>
    <t>Sludge storage -Tanks (pre-thickening, pre-dewatering or untreated); (WINEP/NEP) opex</t>
  </si>
  <si>
    <t>CWW3.132</t>
  </si>
  <si>
    <t>Sludge storage -Tanks (pre-thickening, pre-dewatering or untreated); (WINEP/NEP) totex</t>
  </si>
  <si>
    <t>CWW3.133</t>
  </si>
  <si>
    <t>Sludge storage -Tanks (thickened/dewatered or treated); (WINEP/NEP) capex</t>
  </si>
  <si>
    <t>CWW3.134</t>
  </si>
  <si>
    <t>Sludge storage - Tanks (thickened/dewatered or treated); (WINEP/NEP)  opex</t>
  </si>
  <si>
    <t>CWW3.135</t>
  </si>
  <si>
    <t>Sludge storage - Tanks (thickened/dewatered or treated); (WINEP/NEP)  totex</t>
  </si>
  <si>
    <t>CWW3.136</t>
  </si>
  <si>
    <t>Sludge storage - Cake pads / bays / other; (WINEP/NEP) bioresources capex</t>
  </si>
  <si>
    <t>CWW3.137</t>
  </si>
  <si>
    <t>Sludge storage - Cake pads / bays / other; (WINEP/NEP) bioresources opex</t>
  </si>
  <si>
    <t>CWW3.138</t>
  </si>
  <si>
    <t>Sludge storage - Cake pads / bays /other; (WINEP/NEP) bioresources totex</t>
  </si>
  <si>
    <t>CWW3.139</t>
  </si>
  <si>
    <t>Sludge treatment - Anaerobic digestion and/or advanced anaerobic digestion; (WINEP/NEP) bioresources capex</t>
  </si>
  <si>
    <t>CWW3.140</t>
  </si>
  <si>
    <t>PCDWW25</t>
  </si>
  <si>
    <t>Sludge treatment - Anaerobic digestion and/or advanced anaerobic digestion; (WINEP/NEP) bioresources opex</t>
  </si>
  <si>
    <t>CWW3.141</t>
  </si>
  <si>
    <t>Sludge treatment - Anaerobic digestion and/or advanced anaerobic digestion; (WINEP/NEP) bioresources totex</t>
  </si>
  <si>
    <t>CWW3.142</t>
  </si>
  <si>
    <t>Sludge treatment - Thickening and/or dewatering; (WINEP/NEP) capex</t>
  </si>
  <si>
    <t>CWW3.143</t>
  </si>
  <si>
    <t>Sludge treatment -Thickening and/or dewatering; (WINEP/NEP) opex</t>
  </si>
  <si>
    <t>CWW3.144</t>
  </si>
  <si>
    <t>Sludge treatment - Thickening and/or dewatering; (WINEP/NEP) totex</t>
  </si>
  <si>
    <t>CWW3.145</t>
  </si>
  <si>
    <t>Sludge treatment - Other; (WINEP/NEP) bioresources capex</t>
  </si>
  <si>
    <t>CWW3.146</t>
  </si>
  <si>
    <t>Sludge treatment - Other; (WINEP/NEP) bioresources opex</t>
  </si>
  <si>
    <t>CWW3.147</t>
  </si>
  <si>
    <t>Sludge treatment -Other; (WINEP/NEP) bioresources totex</t>
  </si>
  <si>
    <t>CWW3.148</t>
  </si>
  <si>
    <t>Sludge investigations and monitoring (NEP only) bioresources capex</t>
  </si>
  <si>
    <t>CWW3.149</t>
  </si>
  <si>
    <t>PCDWW26</t>
  </si>
  <si>
    <t>Sludge investigations and monitoring (NEP only) bioresources opex</t>
  </si>
  <si>
    <t>CWW3.150</t>
  </si>
  <si>
    <t>Sludge investigations and monitoring (NEP only) bioresources totex</t>
  </si>
  <si>
    <t>CWW3.151</t>
  </si>
  <si>
    <t>Total environmental programme expenditure; (WINEP/NEP) bioresources totex</t>
  </si>
  <si>
    <t>CWW3.152</t>
  </si>
  <si>
    <t>Other enhancement</t>
  </si>
  <si>
    <t>Growth at sewage treatment works (excluding sludge treatment); enhancement capex</t>
  </si>
  <si>
    <t>CWW3.153</t>
  </si>
  <si>
    <t>PCDWW27</t>
  </si>
  <si>
    <t>Growth at sewage treatment works (excluding sludge treatment); enhancement opex</t>
  </si>
  <si>
    <t>CWW3.154</t>
  </si>
  <si>
    <t>Growth at sewage treatment works (excluding sludge treatment); enhancement totex</t>
  </si>
  <si>
    <t>CWW3.155</t>
  </si>
  <si>
    <t>Reduce flooding risk for properties; enhancement capex</t>
  </si>
  <si>
    <t>CWW3.156</t>
  </si>
  <si>
    <t>PCDWW28</t>
  </si>
  <si>
    <t>Reduce flooding risk for properties; enhancement opex</t>
  </si>
  <si>
    <t>CWW3.157</t>
  </si>
  <si>
    <t>Reduce flooding risk for properties; enhancement totex</t>
  </si>
  <si>
    <t>CWW3.158</t>
  </si>
  <si>
    <t>First time sewerage; enhancement capex</t>
  </si>
  <si>
    <t>CWW3.159</t>
  </si>
  <si>
    <t>PCDWW29</t>
  </si>
  <si>
    <t>First time sewerage; enhancement opex</t>
  </si>
  <si>
    <t>CWW3.160</t>
  </si>
  <si>
    <t>First time sewerage; enhancement totex</t>
  </si>
  <si>
    <t>CWW3.161</t>
  </si>
  <si>
    <t>Sludge enhancement (growth); enhancement capex</t>
  </si>
  <si>
    <t>CWW3.162</t>
  </si>
  <si>
    <t>PCDWW30</t>
  </si>
  <si>
    <t>Sludge enhancement (growth); enhancement opex</t>
  </si>
  <si>
    <t>CWW3.163</t>
  </si>
  <si>
    <t>Sludge enhancement (growth); enhancement totex</t>
  </si>
  <si>
    <t>CWW3.164</t>
  </si>
  <si>
    <t>Odour and other nuisance; enhancement capex</t>
  </si>
  <si>
    <t>CWW3.165</t>
  </si>
  <si>
    <t>PCDWW31</t>
  </si>
  <si>
    <t>Odour and other nuisance; enhancement opex</t>
  </si>
  <si>
    <t>CWW3.166</t>
  </si>
  <si>
    <t>Odour and other nuisance; enhancement totex</t>
  </si>
  <si>
    <t>CWW3.167</t>
  </si>
  <si>
    <t>Resilience; enhancement wastewater capex</t>
  </si>
  <si>
    <t>CWW3.168</t>
  </si>
  <si>
    <t>PCDWW32</t>
  </si>
  <si>
    <t>Resilience; enhancement wastewater opex</t>
  </si>
  <si>
    <t>CWW3.169</t>
  </si>
  <si>
    <t>Resilience; enhancement wastewater totex</t>
  </si>
  <si>
    <t>CWW3.170</t>
  </si>
  <si>
    <t>Security - SEMD; enhancement wastewater capex</t>
  </si>
  <si>
    <t>CWW3.171</t>
  </si>
  <si>
    <t>PCDWW33</t>
  </si>
  <si>
    <t>Security - SEMD; enhancement wastewater opex</t>
  </si>
  <si>
    <t>CWW3.172</t>
  </si>
  <si>
    <t>Security - SEMD; enhancement wastewater totex</t>
  </si>
  <si>
    <t>CWW3.173</t>
  </si>
  <si>
    <t>Security - cyber; enhancement wastewater capex</t>
  </si>
  <si>
    <t>CWW3.174</t>
  </si>
  <si>
    <t>Security - cyber; enhancement wastewater opex</t>
  </si>
  <si>
    <t>CWW3.175</t>
  </si>
  <si>
    <t>Security - cyber; enhancement wastewater totex</t>
  </si>
  <si>
    <t>CWW3.176</t>
  </si>
  <si>
    <t>Greenhouse gas reduction (net zero); enhancement wastewater capex</t>
  </si>
  <si>
    <t>CWW3.177</t>
  </si>
  <si>
    <t>PCDWW34</t>
  </si>
  <si>
    <t>Greenhouse gas reduction (net zero); enhancement wastewater opex</t>
  </si>
  <si>
    <t>CWW3.178</t>
  </si>
  <si>
    <t>Greenhouse gas reduction (net zero); enhancement wastewater totex</t>
  </si>
  <si>
    <t>CWW3.179</t>
  </si>
  <si>
    <t>Total other enhancement wastewater/bioresources expenditure</t>
  </si>
  <si>
    <t>CWW3.180</t>
  </si>
  <si>
    <t>Additional line 1; enhancement wastewater/bioresources capex</t>
  </si>
  <si>
    <t>CWW3.181</t>
  </si>
  <si>
    <t>PCDWW35</t>
  </si>
  <si>
    <t>Additional line 1; enhancement wastewater/bioresources opex</t>
  </si>
  <si>
    <t>CWW3.182</t>
  </si>
  <si>
    <t>Additional line 2; enhancement wastewater/bioresources capex</t>
  </si>
  <si>
    <t>CWW3.183</t>
  </si>
  <si>
    <t>PCDWW36</t>
  </si>
  <si>
    <t>Additional line 2; enhancement wastewater/bioresources opex</t>
  </si>
  <si>
    <t>CWW3.184</t>
  </si>
  <si>
    <t>Additional line 3; enhancement wastewater/bioresources capex</t>
  </si>
  <si>
    <t>CWW3.185</t>
  </si>
  <si>
    <t>PCDWW37</t>
  </si>
  <si>
    <t>Additional line 3; enhancement wastewater/bioresources opex</t>
  </si>
  <si>
    <t>CWW3.186</t>
  </si>
  <si>
    <t>Additional line 4; enhancement wastewater/bioresources capex</t>
  </si>
  <si>
    <t>CWW3.187</t>
  </si>
  <si>
    <t>PCDWW38</t>
  </si>
  <si>
    <t>Additional line 4; enhancement wastewater/bioresources opex</t>
  </si>
  <si>
    <t>CWW3.188</t>
  </si>
  <si>
    <t>Additional line 5; enhancement wastewater/bioresources capex</t>
  </si>
  <si>
    <t>CWW3.189</t>
  </si>
  <si>
    <t>PCDWW39</t>
  </si>
  <si>
    <t>Additional line 5; enhancement wastewater/bioresources opex</t>
  </si>
  <si>
    <t>CWW3.190</t>
  </si>
  <si>
    <t>Total other enhancement freeform lines wastewater/bioresources expenditure</t>
  </si>
  <si>
    <t>CWW3.191</t>
  </si>
  <si>
    <t>CWW3.192</t>
  </si>
  <si>
    <t>Total enhancement expenditure; wastewater/bioresources capex</t>
  </si>
  <si>
    <t>CWW3.193</t>
  </si>
  <si>
    <t>Total enhancement expenditure; wastewater/bioresources opex</t>
  </si>
  <si>
    <t>CWW3.194</t>
  </si>
  <si>
    <t>Total enhancement expenditure; wastewater/bioresources totex</t>
  </si>
  <si>
    <t>CWW3.195</t>
  </si>
  <si>
    <t>Company</t>
  </si>
  <si>
    <t>Wastewater network+ - Storm Overflow spill reduction (network)</t>
  </si>
  <si>
    <t>Line Description</t>
  </si>
  <si>
    <t>Units</t>
  </si>
  <si>
    <t>DPs</t>
  </si>
  <si>
    <t>Capital expenditure</t>
  </si>
  <si>
    <t>Operating expenditure</t>
  </si>
  <si>
    <t>Cost driver 1</t>
  </si>
  <si>
    <t>Cost driver 2</t>
  </si>
  <si>
    <t>Cost driver 3</t>
  </si>
  <si>
    <t>Cost driver 5</t>
  </si>
  <si>
    <t>Cost driver 6</t>
  </si>
  <si>
    <t>Cost driver 7</t>
  </si>
  <si>
    <t>Cost driver 8</t>
  </si>
  <si>
    <t>Cost driver 9</t>
  </si>
  <si>
    <t>Cost driver 10</t>
  </si>
  <si>
    <t>Cost driver 11</t>
  </si>
  <si>
    <t>Cost driver 12</t>
  </si>
  <si>
    <t>Cost driver 13</t>
  </si>
  <si>
    <t>2024-25</t>
  </si>
  <si>
    <t>2025-26</t>
  </si>
  <si>
    <t>2026-27</t>
  </si>
  <si>
    <t>2027-28</t>
  </si>
  <si>
    <t>2028-29</t>
  </si>
  <si>
    <t>2029-30</t>
  </si>
  <si>
    <t>After 2029-30</t>
  </si>
  <si>
    <t>Current spills (annual spills - EDM, 2020)</t>
  </si>
  <si>
    <t>Current spills (annual spills - EDM, 2021)</t>
  </si>
  <si>
    <t>Current spills (annual spills - EDM, 2022)</t>
  </si>
  <si>
    <t>Model predicted spills (annual, 2025)</t>
  </si>
  <si>
    <t>Target spills (annual spills)</t>
  </si>
  <si>
    <t>Total Equivalent Storage (m3)</t>
  </si>
  <si>
    <t>Equivalent Storage delivered through Grey solutions (CWW20.36 / 7E.13) (m3)</t>
  </si>
  <si>
    <t>Equivalent Storage delivered through green solutions (CWW20.37 / 7E.14) (m3)</t>
  </si>
  <si>
    <t>Equivalent Storage delivered through other solutions (m3)</t>
  </si>
  <si>
    <t>BP Spill reduction (annual spills)</t>
  </si>
  <si>
    <t>Priority site (yes/no)</t>
  </si>
  <si>
    <t>Spills required per bathing water season</t>
  </si>
  <si>
    <t>Network / treatment</t>
  </si>
  <si>
    <t>I034110</t>
  </si>
  <si>
    <t>ALDWINCLE TPS</t>
  </si>
  <si>
    <t>£m</t>
  </si>
  <si>
    <t>Y</t>
  </si>
  <si>
    <t>Storm discharge at pumping station</t>
  </si>
  <si>
    <t>I034234</t>
  </si>
  <si>
    <t>BECCLES-COMMON LANE NORTH TPS</t>
  </si>
  <si>
    <t>I034119</t>
  </si>
  <si>
    <t>BISBROOKE SP</t>
  </si>
  <si>
    <t>I031886</t>
  </si>
  <si>
    <t>BOSTON-EAST SIDE TPS</t>
  </si>
  <si>
    <t>I034153</t>
  </si>
  <si>
    <t>BRANTHAM SSO(B)</t>
  </si>
  <si>
    <t>I040901</t>
  </si>
  <si>
    <t>BRIGHLINGSEA-STATION RD #58 OV</t>
  </si>
  <si>
    <t>SO on sewer network</t>
  </si>
  <si>
    <t>I040903</t>
  </si>
  <si>
    <t>BRIGHTLINGSEA-LOWER PARK RD OV</t>
  </si>
  <si>
    <t>I039474</t>
  </si>
  <si>
    <t>BRIGHTLINGSEA-LWR PARK RD TPS</t>
  </si>
  <si>
    <t>I040896</t>
  </si>
  <si>
    <t>BRIGHTLINGSEA-SPRING ROAD SSO</t>
  </si>
  <si>
    <t>I034118</t>
  </si>
  <si>
    <t>BUNGAY-DITCHINGHAM DAM SP</t>
  </si>
  <si>
    <t>I041245</t>
  </si>
  <si>
    <t>COLCHESTER-HAVEN RD OV</t>
  </si>
  <si>
    <t>I034179</t>
  </si>
  <si>
    <t>CORTON-BAKERS SCORE TPS</t>
  </si>
  <si>
    <t>I034422</t>
  </si>
  <si>
    <t>CORTON-CHURCH LANE SM</t>
  </si>
  <si>
    <t>I034227</t>
  </si>
  <si>
    <t>CULFORD THE STREET SP</t>
  </si>
  <si>
    <t>I034113</t>
  </si>
  <si>
    <t>DENFORD SP</t>
  </si>
  <si>
    <t>I034441</t>
  </si>
  <si>
    <t>DOWNHAM MARKET-RAILWAY SSO</t>
  </si>
  <si>
    <t>I034099</t>
  </si>
  <si>
    <t>EARLS BARTON TPS</t>
  </si>
  <si>
    <t>I034229</t>
  </si>
  <si>
    <t>EARLS BARTON, STATION ROAD</t>
  </si>
  <si>
    <t>I034100</t>
  </si>
  <si>
    <t>FAKENHAM-NORWICH ROAD OV</t>
  </si>
  <si>
    <t>I034496</t>
  </si>
  <si>
    <t>FRAMLINGHAM-FORE ST SO</t>
  </si>
  <si>
    <t>I034233</t>
  </si>
  <si>
    <t>FRAMLINGHAM-WOODBRIDGE RD OV</t>
  </si>
  <si>
    <t>I034173</t>
  </si>
  <si>
    <t>FRINTON-UPPER SECOND AVE OV</t>
  </si>
  <si>
    <t>I033676</t>
  </si>
  <si>
    <t>GIMINGHAM-NR MILL TPS</t>
  </si>
  <si>
    <t>I034180</t>
  </si>
  <si>
    <t>GORLESTON BRUSH BEND OV</t>
  </si>
  <si>
    <t>I034184</t>
  </si>
  <si>
    <t>GORLESTON-BAKER ST SP</t>
  </si>
  <si>
    <t>I034230</t>
  </si>
  <si>
    <t>GRIMSBY RIBY ST.PS O.F</t>
  </si>
  <si>
    <t>I034169</t>
  </si>
  <si>
    <t>GRIMSBY-PYEWIPE SO TPS</t>
  </si>
  <si>
    <t>I039550</t>
  </si>
  <si>
    <t>GT BENTLEY-THORRINGTON RD SP</t>
  </si>
  <si>
    <t>I034134</t>
  </si>
  <si>
    <t>GT WAKERING-SEAVIEW EST SP</t>
  </si>
  <si>
    <t>I039787</t>
  </si>
  <si>
    <t>GT WALTHAM-HOWE ST SP</t>
  </si>
  <si>
    <t>I034961</t>
  </si>
  <si>
    <t>GT YARMOUTH SUFFLING RD SP</t>
  </si>
  <si>
    <t>I034167</t>
  </si>
  <si>
    <t>GT YARMOUTH-BOUNDARY RD SP</t>
  </si>
  <si>
    <t>I034175</t>
  </si>
  <si>
    <t>GT YARMOUTH-BRYANTS QUAY SM</t>
  </si>
  <si>
    <t>I034458</t>
  </si>
  <si>
    <t>GT YARMOUTH-GARRISON RD SP</t>
  </si>
  <si>
    <t>I027260</t>
  </si>
  <si>
    <t>GT YARMOUTH-TOWN HALL SP</t>
  </si>
  <si>
    <t>I034132</t>
  </si>
  <si>
    <t>GT YARMTH-N DENES/JELLICO R SP</t>
  </si>
  <si>
    <t>I034152</t>
  </si>
  <si>
    <t>HIGHAM FERRERS-KINGS MEADOW LN</t>
  </si>
  <si>
    <t>I034235</t>
  </si>
  <si>
    <t>HOLCOT SP</t>
  </si>
  <si>
    <t>I033732</t>
  </si>
  <si>
    <t>HUNSTANTON SOUTH END ROAD TPS</t>
  </si>
  <si>
    <t>I034181</t>
  </si>
  <si>
    <t>HUNSTANTON-SMUGGLERS LANE SP</t>
  </si>
  <si>
    <t>I034137</t>
  </si>
  <si>
    <t>HUNTINGDON-HARTFORD ROAD SP</t>
  </si>
  <si>
    <t>I034376</t>
  </si>
  <si>
    <t>IPSWICH-CLIFF QUAY STW (SOUTH EASTERN AREA SEWER CSO)</t>
  </si>
  <si>
    <t>I034450</t>
  </si>
  <si>
    <t>ISLIP SP</t>
  </si>
  <si>
    <t>I041166</t>
  </si>
  <si>
    <t>KINGS LYNN-GAYWOOD OUTFALL OV</t>
  </si>
  <si>
    <t>I041134</t>
  </si>
  <si>
    <t>KINGS LYNN-GAYWOOD OUTFALL SSO</t>
  </si>
  <si>
    <t>I031443</t>
  </si>
  <si>
    <t>KINGS LYNN-NAR LANE SP</t>
  </si>
  <si>
    <t>I034238</t>
  </si>
  <si>
    <t>KINGS LYNN-PURFLEET QUAY SP</t>
  </si>
  <si>
    <t>I040602</t>
  </si>
  <si>
    <t>LACEBY-CAISTOR ROAD #1 SSO</t>
  </si>
  <si>
    <t>I040718</t>
  </si>
  <si>
    <t xml:space="preserve">LEISTON-VALLEY ROAD/CROWN STREET [2] </t>
  </si>
  <si>
    <t>I034127</t>
  </si>
  <si>
    <t>LOUTH SPAW LANE SSO</t>
  </si>
  <si>
    <t>I034241</t>
  </si>
  <si>
    <t>LOUTH-BRIDGE ST SSO</t>
  </si>
  <si>
    <t>I034126</t>
  </si>
  <si>
    <t>LOUTH-CHURCH LIGHTS CSO</t>
  </si>
  <si>
    <t>I034128</t>
  </si>
  <si>
    <t>LOUTH-JAMES ST SSO</t>
  </si>
  <si>
    <t>I034105</t>
  </si>
  <si>
    <t>LOWICK-DRAYTON ROAD TPS</t>
  </si>
  <si>
    <t>I034109</t>
  </si>
  <si>
    <t>MALDON-PARK DRIVE   SSO</t>
  </si>
  <si>
    <t>I040573</t>
  </si>
  <si>
    <t>MARCH-DARTFORD RD/ELIOTS RDSSO</t>
  </si>
  <si>
    <t>I034142</t>
  </si>
  <si>
    <t>MARCH-WISBECH RD/NORWOOD RD OV</t>
  </si>
  <si>
    <t>I034125</t>
  </si>
  <si>
    <t>MARKET HARBOROUGH SOUTH CSO MH1203 FDT</t>
  </si>
  <si>
    <t>I034244</t>
  </si>
  <si>
    <t>MILTON FERRY SP</t>
  </si>
  <si>
    <t>MUNDESLEY-DELL CHALET PK OV</t>
  </si>
  <si>
    <t>MUNDESLEY-NEW PROMENADE TPS</t>
  </si>
  <si>
    <t>I034243</t>
  </si>
  <si>
    <t>NEWTON LONGVILLE-WHADDON RD SP</t>
  </si>
  <si>
    <t>I034124</t>
  </si>
  <si>
    <t>NORTHAMPTON-DUSTON SYCAMORESSO</t>
  </si>
  <si>
    <t>I038738</t>
  </si>
  <si>
    <t>NORTHAMPTON-GRAFTON STREET SSO</t>
  </si>
  <si>
    <t>I034237</t>
  </si>
  <si>
    <t>NORTHAMPTON-LOWER HESTER ST OV</t>
  </si>
  <si>
    <t>I038742</t>
  </si>
  <si>
    <t>NORTHAMPTON-SPENCER BRIDGE R</t>
  </si>
  <si>
    <t>I034122</t>
  </si>
  <si>
    <t>NORWICH ANGEL ROAD</t>
  </si>
  <si>
    <t>I034116</t>
  </si>
  <si>
    <t>NORWICH, COW TOWER O/F SSO</t>
  </si>
  <si>
    <t>I034114</t>
  </si>
  <si>
    <t>NORWICH-FYE BRIDGE (N) SSO</t>
  </si>
  <si>
    <t>I034103</t>
  </si>
  <si>
    <t>NORWICH-GIBRALTER GARDENS CSO</t>
  </si>
  <si>
    <t>I034104</t>
  </si>
  <si>
    <t>NORWICH-KING STREET SSO #2</t>
  </si>
  <si>
    <t>I034106</t>
  </si>
  <si>
    <t>NORWICH-PRINCE OF WALES ROAD CSO</t>
  </si>
  <si>
    <t>I040533</t>
  </si>
  <si>
    <t>PAGLESHAM-CHURCH END SP</t>
  </si>
  <si>
    <t>I034246</t>
  </si>
  <si>
    <t>PETBORO-STANGD THISTLE DR SP</t>
  </si>
  <si>
    <t>I034194</t>
  </si>
  <si>
    <t>PETERBOROUGH (FLAG FEN) STW A1</t>
  </si>
  <si>
    <t>I034135</t>
  </si>
  <si>
    <t>RAMSEY-ST MARYS RD SSO</t>
  </si>
  <si>
    <t>I034026</t>
  </si>
  <si>
    <t>RUSHDEN-STATION RD  SSO</t>
  </si>
  <si>
    <t>I034966</t>
  </si>
  <si>
    <t>SOUTHEND - WESTERN VALLEY SP</t>
  </si>
  <si>
    <t>I034177</t>
  </si>
  <si>
    <t>SOUTHEND ON SEA, VICTORIA RD CSO ELIZ.RD O/F</t>
  </si>
  <si>
    <t>I041214</t>
  </si>
  <si>
    <t>SOUTHEND PRITTLE BROOK STORAGE TANK</t>
  </si>
  <si>
    <t>I034522</t>
  </si>
  <si>
    <t>SOUTHEND-BRITTANIA ROAD BF CSO</t>
  </si>
  <si>
    <t>I041202</t>
  </si>
  <si>
    <t>SOUTHEND-BURDETT ROAD CSO</t>
  </si>
  <si>
    <t>I034552</t>
  </si>
  <si>
    <t>SOUTHEND-HAMS/ROY ART W CSO</t>
  </si>
  <si>
    <t>I034974</t>
  </si>
  <si>
    <t>SOUTHEND-MANILLA RD BF</t>
  </si>
  <si>
    <t>I034551</t>
  </si>
  <si>
    <t>SOUTHEND-NESS ROAD</t>
  </si>
  <si>
    <t>I034525</t>
  </si>
  <si>
    <t>SOUTHEND-ROY ART/ASH AV CSO</t>
  </si>
  <si>
    <t>I034976</t>
  </si>
  <si>
    <t>SOUTHEND-ROYAL TERRACE</t>
  </si>
  <si>
    <t>I034221</t>
  </si>
  <si>
    <t>SOUTHEND-SOUTHCHURCH ROAD CSO</t>
  </si>
  <si>
    <t>I034176</t>
  </si>
  <si>
    <t>SOUTHWOLD-GARDENER RD SP</t>
  </si>
  <si>
    <t>I039784</t>
  </si>
  <si>
    <t>ST IVES-MEADOW LANE PS</t>
  </si>
  <si>
    <t>I040726</t>
  </si>
  <si>
    <t>ST OSYTH-POINT CLEAR RD SSO</t>
  </si>
  <si>
    <t>I034111</t>
  </si>
  <si>
    <t>STAMFORD-HUDDS MILL TPS</t>
  </si>
  <si>
    <t>I034232</t>
  </si>
  <si>
    <t>STUNTNEY-LOWER STREET SP</t>
  </si>
  <si>
    <t>I034453</t>
  </si>
  <si>
    <t>TINGEWICK - FOUL SP</t>
  </si>
  <si>
    <t>I034144</t>
  </si>
  <si>
    <t>ULCEBY SKITTER SP</t>
  </si>
  <si>
    <t>I040770</t>
  </si>
  <si>
    <t>WICKHAM MARKET-BRIDGE THE SP</t>
  </si>
  <si>
    <t>I034150</t>
  </si>
  <si>
    <t>WIVENHOE-PHILLIP RD OV</t>
  </si>
  <si>
    <t>I040594</t>
  </si>
  <si>
    <t>WIVENHOE-THE FOLLY OV</t>
  </si>
  <si>
    <t>I034108</t>
  </si>
  <si>
    <t>WOODBRIDGE-DEBEN RD OV</t>
  </si>
  <si>
    <t>I034145</t>
  </si>
  <si>
    <t>WOODBRIDGE-STATION RD CSO</t>
  </si>
  <si>
    <t>Wastewater network+ - Storm Overflow spill reduction (sewage treatment works)</t>
  </si>
  <si>
    <t>Cost driver 4</t>
  </si>
  <si>
    <t>TOLLESBURY STW</t>
  </si>
  <si>
    <t>BARTON ON HUMBER STW</t>
  </si>
  <si>
    <t>BRACKLEY STW (NEW)</t>
  </si>
  <si>
    <t>BRAMPTON STW (CAMBS)</t>
  </si>
  <si>
    <t>BRIGSTOCK STW</t>
  </si>
  <si>
    <t>BRISTON STW</t>
  </si>
  <si>
    <t>BROADHOLME WATER RECYCLING CENTRE</t>
  </si>
  <si>
    <t>BURNHAM MARKET STW</t>
  </si>
  <si>
    <t>BURNHAM ON CROUCH STW</t>
  </si>
  <si>
    <t>BYLAUGH-NEAR CHURCH STW</t>
  </si>
  <si>
    <t>CAISTER STW</t>
  </si>
  <si>
    <t>COLCHESTER STW</t>
  </si>
  <si>
    <t>DULLINGHAM STW</t>
  </si>
  <si>
    <t>EIGHT ASH GREEN-STW</t>
  </si>
  <si>
    <t>ELY STW</t>
  </si>
  <si>
    <t>FAKENHAM STW (NEW)</t>
  </si>
  <si>
    <t>FORNHAM ALL SAINTS-STW</t>
  </si>
  <si>
    <t>GREAT BILLING STW</t>
  </si>
  <si>
    <t>GREAT OXENDON STW</t>
  </si>
  <si>
    <t>HALSTEAD STW</t>
  </si>
  <si>
    <t>HOLBROOK STW</t>
  </si>
  <si>
    <t>HORNING-KNACKERS WOOD STW</t>
  </si>
  <si>
    <t>HUNDON STW</t>
  </si>
  <si>
    <t>IMMINGHAM STW</t>
  </si>
  <si>
    <t>INGATESTONE STW</t>
  </si>
  <si>
    <t>IPSWICH-CLIFF QUAY WATER RECYCLING CENTRE</t>
  </si>
  <si>
    <t>JAYWICK NEW STW</t>
  </si>
  <si>
    <t>LACEBY STW</t>
  </si>
  <si>
    <t>LEIGHTON LINSLADE STW</t>
  </si>
  <si>
    <t>LOUTH STW</t>
  </si>
  <si>
    <t>MALDON STW</t>
  </si>
  <si>
    <t>MARKET HARBOROUGH STW</t>
  </si>
  <si>
    <t>MAYLANDSEA STW</t>
  </si>
  <si>
    <t>MEPAL STW</t>
  </si>
  <si>
    <t>NEEDHAM MARKET STW</t>
  </si>
  <si>
    <t>NETTLEHAM STW INLET</t>
  </si>
  <si>
    <t>NEWMARKET STW</t>
  </si>
  <si>
    <t>NORTH FERRY STW</t>
  </si>
  <si>
    <t>NORTH THORESBY STW</t>
  </si>
  <si>
    <t>ODELL STW</t>
  </si>
  <si>
    <t>OUNDLE STW</t>
  </si>
  <si>
    <t>PETERBOROUGH (FLAG FEN) STW</t>
  </si>
  <si>
    <t>SHENFIELD AND HUTTON-STW</t>
  </si>
  <si>
    <t>SOHAM STW</t>
  </si>
  <si>
    <t>SOUTHEND STW (Long sea outfall)</t>
  </si>
  <si>
    <t>SOUTHWOLD-COMMON THE STW</t>
  </si>
  <si>
    <t>SPILSBY STW</t>
  </si>
  <si>
    <t>STANION STW</t>
  </si>
  <si>
    <t>SUTTON BRIDGE STW</t>
  </si>
  <si>
    <t>SWAFFHAM STW</t>
  </si>
  <si>
    <t>TETNEY-NEWTON MARSH STW</t>
  </si>
  <si>
    <t>TITCHMARSH STW</t>
  </si>
  <si>
    <t>ULCEBY STW</t>
  </si>
  <si>
    <t>UPPINGHAM STW A2</t>
  </si>
  <si>
    <t>UPPINGHAM STW A3</t>
  </si>
  <si>
    <t>WEST MERSEA STW</t>
  </si>
  <si>
    <t>WHITLINGHAM TROWSE STW</t>
  </si>
  <si>
    <t>WINTERINGHAM STW</t>
  </si>
  <si>
    <t>WYMONDHAM STW</t>
  </si>
  <si>
    <t>Not inlcuded as do not have spill targets</t>
  </si>
  <si>
    <t>Melton WRC</t>
  </si>
  <si>
    <t>Oakham WRC</t>
  </si>
  <si>
    <t>all of the storm tank sites</t>
  </si>
  <si>
    <t>ENVINV2 (dont know what spill targets will be)</t>
  </si>
  <si>
    <t>south woodham ferrers</t>
  </si>
  <si>
    <t>Commentary</t>
  </si>
  <si>
    <t>We have completed the table as requested using the guidance provided in Information Notice IN23/05 ‘Further guidance on price control deliverables for PR24’. However, to ensure alignment between the economic regulatory framework and the environmental framework, we have proposed a PCD within our business plan submission [see ANH37] to provide customer protection for this programme of works based only on the number of obligations delivered within WINEP. We therefore do not believe that the data provided within this data request should be used to set PCDs. We set out more detail about why we believe that PCDs based on obligations are appropriate in chapter [8 Our Commitment to Customers] of our business plan main narrative. Please note that in order to populate the data request, only schemes with specified spill reductions have been included. For example, this means that we have not included WINEP schemes for drivers such as storm tank, FFT, or bathing water schemes which did not have specific spill targets associated with them but will deliver storm spill reduction benefit by the nature of the investment. We have also not included investment for EnvAct IMP2 (no adverse environmental impact) because until investigations are completed (by 2027) we do not know which sites will require further spill reduction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</si>
</sst>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quot;£&quot;#,##0.00"/>
    <numFmt numFmtId="171" formatCode="dd\ mmm\ yy_);\(###0\);&quot;-  &quot;;&quot; &quot;@&quot; &quot;"/>
    <numFmt numFmtId="172" formatCode="0.00%_);\-0.00%_);&quot;-  &quot;;&quot; &quot;@&quot; &quot;"/>
    <numFmt numFmtId="173" formatCode="#,##0.000"/>
    <numFmt numFmtId="174" formatCode="0.000"/>
    <numFmt numFmtId="175" formatCode="_-* #,##0_-;\-* #,##0_-;_-* &quot;-&quot;??_-;_-@_-"/>
  </numFmts>
  <fonts count="66" x14ac:knownFonts="1">
    <font>
      <sz val="10"/>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Krub SemiBold"/>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i/>
      <sz val="10"/>
      <color rgb="FF00B050"/>
      <name val="Arial"/>
      <family val="2"/>
    </font>
    <font>
      <sz val="11"/>
      <color theme="1"/>
      <name val="Arial"/>
      <family val="2"/>
    </font>
    <font>
      <sz val="10"/>
      <name val="Calibri"/>
      <family val="2"/>
    </font>
    <font>
      <sz val="11"/>
      <color theme="1"/>
      <name val="Krub"/>
      <family val="2"/>
      <scheme val="minor"/>
    </font>
    <font>
      <sz val="15"/>
      <color theme="0"/>
      <name val="Franklin Gothic Demi"/>
      <family val="2"/>
    </font>
    <font>
      <sz val="10"/>
      <color rgb="FF0078C9"/>
      <name val="Franklin Gothic Demi"/>
      <family val="2"/>
    </font>
    <font>
      <sz val="10"/>
      <color rgb="FF000000"/>
      <name val="Calibri"/>
      <family val="2"/>
    </font>
    <font>
      <sz val="12"/>
      <color theme="1"/>
      <name val="Arial"/>
      <family val="2"/>
    </font>
    <font>
      <sz val="12"/>
      <color rgb="FF000000"/>
      <name val="Arial"/>
      <family val="2"/>
    </font>
    <font>
      <sz val="12"/>
      <color theme="1"/>
      <name val="Krub"/>
      <family val="2"/>
      <scheme val="minor"/>
    </font>
    <font>
      <sz val="12"/>
      <color rgb="FFFF0000"/>
      <name val="Krub"/>
      <family val="2"/>
      <scheme val="minor"/>
    </font>
    <font>
      <sz val="12"/>
      <name val="Arial"/>
      <family val="2"/>
    </font>
    <font>
      <sz val="12"/>
      <color rgb="FF0078C9"/>
      <name val="Arial"/>
      <family val="2"/>
    </font>
    <font>
      <b/>
      <sz val="15"/>
      <color rgb="FFFFFFFF"/>
      <name val="Arial"/>
      <family val="2"/>
    </font>
    <font>
      <sz val="11"/>
      <color indexed="8"/>
      <name val="Krub"/>
      <family val="2"/>
      <scheme val="minor"/>
    </font>
    <font>
      <sz val="12"/>
      <color rgb="FF002664"/>
      <name val="Arial"/>
      <family val="2"/>
    </font>
    <font>
      <sz val="8"/>
      <name val="Arial"/>
      <family val="2"/>
    </font>
    <font>
      <sz val="15"/>
      <color theme="1"/>
      <name val="Arial"/>
      <family val="2"/>
    </font>
    <font>
      <sz val="15"/>
      <color rgb="FF003479"/>
      <name val="Arial"/>
      <family val="2"/>
    </font>
    <font>
      <sz val="9"/>
      <color theme="1"/>
      <name val="Arial"/>
      <family val="2"/>
    </font>
    <font>
      <sz val="11"/>
      <name val="Arial"/>
      <family val="2"/>
    </font>
    <font>
      <b/>
      <sz val="15"/>
      <color theme="0"/>
      <name val="Arial"/>
      <family val="2"/>
    </font>
    <font>
      <sz val="12"/>
      <color theme="4"/>
      <name val="Arial"/>
      <family val="2"/>
    </font>
    <font>
      <b/>
      <sz val="11"/>
      <name val="Arial"/>
      <family val="2"/>
    </font>
    <font>
      <sz val="15"/>
      <color rgb="FF000000"/>
      <name val="Arial"/>
      <family val="2"/>
    </font>
    <font>
      <sz val="11"/>
      <color rgb="FF000000"/>
      <name val="Arial"/>
      <family val="2"/>
    </font>
    <font>
      <sz val="12"/>
      <color rgb="FF003479"/>
      <name val="Arial"/>
      <family val="2"/>
    </font>
    <font>
      <b/>
      <sz val="12"/>
      <color rgb="FF000000"/>
      <name val="Arial"/>
      <family val="2"/>
    </font>
    <font>
      <vertAlign val="superscript"/>
      <sz val="11"/>
      <name val="Arial"/>
      <family val="2"/>
    </font>
    <font>
      <sz val="10"/>
      <name val="Krub"/>
      <family val="2"/>
      <scheme val="minor"/>
    </font>
    <font>
      <sz val="10"/>
      <color indexed="8"/>
      <name val="Arial"/>
      <family val="2"/>
    </font>
    <font>
      <sz val="10"/>
      <color theme="1"/>
      <name val="Krub"/>
      <family val="2"/>
      <scheme val="minor"/>
    </font>
    <font>
      <sz val="10"/>
      <color rgb="FF000000"/>
      <name val="Krub"/>
      <family val="2"/>
      <scheme val="minor"/>
    </font>
    <font>
      <sz val="10"/>
      <color rgb="FFFF0000"/>
      <name val="Krub"/>
      <family val="2"/>
      <scheme val="minor"/>
    </font>
    <font>
      <sz val="11"/>
      <color rgb="FF444444"/>
      <name val="Calibri"/>
      <family val="2"/>
      <charset val="1"/>
    </font>
    <font>
      <sz val="10"/>
      <color rgb="FFFF0000"/>
      <name val="Arial"/>
      <family val="2"/>
    </font>
    <font>
      <sz val="11"/>
      <color theme="1"/>
      <name val="Krub"/>
      <family val="2"/>
      <scheme val="minor"/>
    </font>
    <font>
      <sz val="10"/>
      <color rgb="FF000000"/>
      <name val="Arial"/>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rgb="FFFFDB8E"/>
        <bgColor indexed="64"/>
      </patternFill>
    </fill>
    <fill>
      <patternFill patternType="solid">
        <fgColor rgb="FF003479"/>
        <bgColor indexed="64"/>
      </patternFill>
    </fill>
    <fill>
      <patternFill patternType="solid">
        <fgColor rgb="FFE0DCD8"/>
        <bgColor indexed="64"/>
      </patternFill>
    </fill>
    <fill>
      <patternFill patternType="solid">
        <fgColor rgb="FF003595"/>
        <bgColor indexed="64"/>
      </patternFill>
    </fill>
    <fill>
      <patternFill patternType="solid">
        <fgColor rgb="FFFFFFFF"/>
        <bgColor indexed="64"/>
      </patternFill>
    </fill>
    <fill>
      <patternFill patternType="solid">
        <fgColor rgb="FFFFC000"/>
        <bgColor indexed="64"/>
      </patternFill>
    </fill>
    <fill>
      <patternFill patternType="solid">
        <fgColor rgb="FFFE4819"/>
        <bgColor indexed="64"/>
      </patternFill>
    </fill>
    <fill>
      <patternFill patternType="solid">
        <fgColor theme="5"/>
        <bgColor indexed="64"/>
      </patternFill>
    </fill>
    <fill>
      <patternFill patternType="solid">
        <fgColor rgb="FF003592"/>
        <bgColor indexed="64"/>
      </patternFill>
    </fill>
    <fill>
      <patternFill patternType="solid">
        <fgColor rgb="FFFFFFFF"/>
        <bgColor rgb="FF000000"/>
      </patternFill>
    </fill>
    <fill>
      <patternFill patternType="solid">
        <fgColor rgb="FF003595"/>
        <bgColor rgb="FF000000"/>
      </patternFill>
    </fill>
    <fill>
      <patternFill patternType="solid">
        <fgColor rgb="FFE0DCD8"/>
        <bgColor rgb="FF000000"/>
      </patternFill>
    </fill>
    <fill>
      <patternFill patternType="solid">
        <fgColor rgb="FFFFEFCA"/>
        <bgColor rgb="FF000000"/>
      </patternFill>
    </fill>
    <fill>
      <patternFill patternType="solid">
        <fgColor theme="0"/>
        <bgColor indexed="64"/>
      </patternFill>
    </fill>
    <fill>
      <patternFill patternType="solid">
        <fgColor rgb="FFFFFF00"/>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1607409894101"/>
      </left>
      <right/>
      <top style="thin">
        <color theme="0" tint="-0.24991607409894101"/>
      </top>
      <bottom style="thin">
        <color theme="0" tint="-0.24991607409894101"/>
      </bottom>
      <diagonal/>
    </border>
    <border>
      <left/>
      <right style="thin">
        <color rgb="FF808080"/>
      </right>
      <top/>
      <bottom style="thin">
        <color rgb="FF808080"/>
      </bottom>
      <diagonal/>
    </border>
    <border>
      <left style="thick">
        <color rgb="FF808080"/>
      </left>
      <right style="thin">
        <color rgb="FF808080"/>
      </right>
      <top style="thin">
        <color rgb="FF808080"/>
      </top>
      <bottom style="thick">
        <color rgb="FF808080"/>
      </bottom>
      <diagonal/>
    </border>
    <border>
      <left style="thick">
        <color rgb="FF808080"/>
      </left>
      <right style="thin">
        <color rgb="FF808080"/>
      </right>
      <top style="thin">
        <color rgb="FF808080"/>
      </top>
      <bottom style="thin">
        <color rgb="FF808080"/>
      </bottom>
      <diagonal/>
    </border>
    <border>
      <left style="thick">
        <color rgb="FF808080"/>
      </left>
      <right style="thin">
        <color rgb="FF808080"/>
      </right>
      <top/>
      <bottom style="thin">
        <color rgb="FF808080"/>
      </bottom>
      <diagonal/>
    </border>
    <border>
      <left style="thick">
        <color rgb="FF808080"/>
      </left>
      <right style="thick">
        <color rgb="FF808080"/>
      </right>
      <top style="thin">
        <color rgb="FF808080"/>
      </top>
      <bottom style="thick">
        <color rgb="FF808080"/>
      </bottom>
      <diagonal/>
    </border>
    <border>
      <left style="thick">
        <color rgb="FF808080"/>
      </left>
      <right style="thick">
        <color rgb="FF808080"/>
      </right>
      <top style="thin">
        <color rgb="FF808080"/>
      </top>
      <bottom style="thin">
        <color rgb="FF808080"/>
      </bottom>
      <diagonal/>
    </border>
    <border>
      <left style="thick">
        <color rgb="FF808080"/>
      </left>
      <right style="thick">
        <color rgb="FF808080"/>
      </right>
      <top style="thick">
        <color rgb="FF808080"/>
      </top>
      <bottom style="thin">
        <color rgb="FF808080"/>
      </bottom>
      <diagonal/>
    </border>
    <border>
      <left style="thick">
        <color rgb="FF808080"/>
      </left>
      <right style="thin">
        <color rgb="FF808080"/>
      </right>
      <top style="thick">
        <color rgb="FF808080"/>
      </top>
      <bottom style="thin">
        <color rgb="FF808080"/>
      </bottom>
      <diagonal/>
    </border>
    <border>
      <left style="thick">
        <color rgb="FF808080"/>
      </left>
      <right style="thick">
        <color rgb="FF808080"/>
      </right>
      <top style="thick">
        <color rgb="FF808080"/>
      </top>
      <bottom style="thick">
        <color rgb="FF808080"/>
      </bottom>
      <diagonal/>
    </border>
    <border>
      <left style="thick">
        <color rgb="FF808080"/>
      </left>
      <right style="thick">
        <color rgb="FF808080"/>
      </right>
      <top/>
      <bottom style="thick">
        <color rgb="FF808080"/>
      </bottom>
      <diagonal/>
    </border>
    <border>
      <left style="thick">
        <color rgb="FF808080"/>
      </left>
      <right style="thin">
        <color rgb="FF808080"/>
      </right>
      <top/>
      <bottom style="thick">
        <color rgb="FF808080"/>
      </bottom>
      <diagonal/>
    </border>
    <border>
      <left style="thick">
        <color rgb="FF808080"/>
      </left>
      <right style="thick">
        <color rgb="FF808080"/>
      </right>
      <top style="thick">
        <color rgb="FF808080"/>
      </top>
      <bottom/>
      <diagonal/>
    </border>
    <border>
      <left style="thick">
        <color rgb="FF808080"/>
      </left>
      <right style="thin">
        <color rgb="FF808080"/>
      </right>
      <top style="thick">
        <color rgb="FF808080"/>
      </top>
      <bottom/>
      <diagonal/>
    </border>
    <border>
      <left style="thick">
        <color rgb="FF808080"/>
      </left>
      <right style="thin">
        <color rgb="FF808080"/>
      </right>
      <top style="thick">
        <color rgb="FF808080"/>
      </top>
      <bottom style="thick">
        <color rgb="FF808080"/>
      </bottom>
      <diagonal/>
    </border>
    <border>
      <left/>
      <right style="thin">
        <color rgb="FF808080"/>
      </right>
      <top style="thin">
        <color rgb="FF808080"/>
      </top>
      <bottom style="thick">
        <color rgb="FF808080"/>
      </bottom>
      <diagonal/>
    </border>
    <border>
      <left style="thick">
        <color rgb="FF808080"/>
      </left>
      <right style="thick">
        <color rgb="FF808080"/>
      </right>
      <top/>
      <bottom/>
      <diagonal/>
    </border>
    <border>
      <left style="thick">
        <color rgb="FF808080"/>
      </left>
      <right style="thin">
        <color rgb="FF808080"/>
      </right>
      <top/>
      <bottom/>
      <diagonal/>
    </border>
    <border>
      <left style="thick">
        <color rgb="FF808080"/>
      </left>
      <right style="thick">
        <color rgb="FF808080"/>
      </right>
      <top style="thin">
        <color rgb="FF808080"/>
      </top>
      <bottom/>
      <diagonal/>
    </border>
    <border>
      <left/>
      <right/>
      <top style="thick">
        <color rgb="FF808080"/>
      </top>
      <bottom style="thick">
        <color rgb="FF808080"/>
      </bottom>
      <diagonal/>
    </border>
    <border>
      <left/>
      <right style="thin">
        <color rgb="FF808080"/>
      </right>
      <top style="thin">
        <color rgb="FF808080"/>
      </top>
      <bottom style="thin">
        <color rgb="FF808080"/>
      </bottom>
      <diagonal/>
    </border>
    <border>
      <left/>
      <right style="thin">
        <color rgb="FF808080"/>
      </right>
      <top style="thick">
        <color rgb="FF808080"/>
      </top>
      <bottom/>
      <diagonal/>
    </border>
    <border>
      <left/>
      <right style="thin">
        <color rgb="FF808080"/>
      </right>
      <top/>
      <bottom/>
      <diagonal/>
    </border>
    <border>
      <left/>
      <right style="thin">
        <color rgb="FF808080"/>
      </right>
      <top/>
      <bottom style="thick">
        <color rgb="FF808080"/>
      </bottom>
      <diagonal/>
    </border>
    <border>
      <left/>
      <right style="thin">
        <color rgb="FF808080"/>
      </right>
      <top style="thick">
        <color rgb="FF808080"/>
      </top>
      <bottom style="thick">
        <color rgb="FF808080"/>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bottom/>
      <diagonal/>
    </border>
    <border>
      <left/>
      <right/>
      <top/>
      <bottom style="thick">
        <color rgb="FF808080"/>
      </bottom>
      <diagonal/>
    </border>
    <border>
      <left style="thin">
        <color rgb="FF808080"/>
      </left>
      <right style="thin">
        <color rgb="FF808080"/>
      </right>
      <top style="thick">
        <color rgb="FF808080"/>
      </top>
      <bottom/>
      <diagonal/>
    </border>
    <border>
      <left style="thin">
        <color rgb="FF808080"/>
      </left>
      <right/>
      <top style="thick">
        <color rgb="FF808080"/>
      </top>
      <bottom style="thin">
        <color rgb="FF808080"/>
      </bottom>
      <diagonal/>
    </border>
    <border>
      <left/>
      <right/>
      <top style="thick">
        <color rgb="FF808080"/>
      </top>
      <bottom style="thin">
        <color rgb="FF808080"/>
      </bottom>
      <diagonal/>
    </border>
    <border>
      <left/>
      <right style="thick">
        <color rgb="FF808080"/>
      </right>
      <top style="thick">
        <color rgb="FF808080"/>
      </top>
      <bottom style="thin">
        <color rgb="FF808080"/>
      </bottom>
      <diagonal/>
    </border>
    <border>
      <left style="thick">
        <color rgb="FF808080"/>
      </left>
      <right/>
      <top style="thick">
        <color rgb="FF808080"/>
      </top>
      <bottom style="thin">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n">
        <color rgb="FF808080"/>
      </left>
      <right style="thin">
        <color rgb="FF808080"/>
      </right>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n">
        <color rgb="FF808080"/>
      </left>
      <right/>
      <top style="thin">
        <color rgb="FF808080"/>
      </top>
      <bottom style="thick">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ck">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rgb="FF808080"/>
      </left>
      <right style="thin">
        <color rgb="FF808080"/>
      </right>
      <top style="thin">
        <color rgb="FF808080"/>
      </top>
      <bottom/>
      <diagonal/>
    </border>
    <border>
      <left style="thin">
        <color rgb="FF808080"/>
      </left>
      <right style="thick">
        <color rgb="FF808080"/>
      </right>
      <top style="thin">
        <color rgb="FF808080"/>
      </top>
      <bottom/>
      <diagonal/>
    </border>
    <border>
      <left style="thin">
        <color rgb="FF808080"/>
      </left>
      <right/>
      <top style="thin">
        <color rgb="FF808080"/>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34">
    <xf numFmtId="0" fontId="0" fillId="0" borderId="0"/>
    <xf numFmtId="43" fontId="4" fillId="0" borderId="0" applyFont="0" applyFill="0" applyBorder="0" applyAlignment="0" applyProtection="0"/>
    <xf numFmtId="10"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6" fillId="45" borderId="0" applyNumberFormat="0" applyBorder="0" applyAlignment="0" applyProtection="0"/>
    <xf numFmtId="0" fontId="4"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5" fontId="4" fillId="42" borderId="0" applyNumberFormat="0" applyFont="0" applyBorder="0" applyAlignment="0" applyProtection="0"/>
    <xf numFmtId="0" fontId="4"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20" fillId="44" borderId="0" applyNumberFormat="0" applyProtection="0">
      <alignment vertical="top"/>
    </xf>
    <xf numFmtId="9" fontId="4" fillId="0" borderId="0" applyFont="0" applyFill="0" applyBorder="0" applyAlignment="0" applyProtection="0"/>
    <xf numFmtId="0" fontId="28" fillId="0" borderId="0" applyNumberFormat="0" applyFill="0" applyBorder="0" applyProtection="0">
      <alignment vertical="top"/>
    </xf>
    <xf numFmtId="167" fontId="20" fillId="0" borderId="0" applyFont="0" applyFill="0" applyBorder="0" applyProtection="0">
      <alignment vertical="top"/>
    </xf>
    <xf numFmtId="168" fontId="20" fillId="0" borderId="0" applyFont="0" applyFill="0" applyBorder="0" applyProtection="0">
      <alignment vertical="top"/>
    </xf>
    <xf numFmtId="169" fontId="20"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0" fontId="20" fillId="0" borderId="0"/>
    <xf numFmtId="0" fontId="29" fillId="0" borderId="0"/>
    <xf numFmtId="0" fontId="3" fillId="0" borderId="0"/>
    <xf numFmtId="9" fontId="3" fillId="0" borderId="0" applyFont="0" applyFill="0" applyBorder="0" applyAlignment="0" applyProtection="0"/>
    <xf numFmtId="0" fontId="7" fillId="0" borderId="2" applyNumberFormat="0" applyFill="0" applyAlignment="0" applyProtection="0"/>
    <xf numFmtId="170" fontId="32" fillId="47" borderId="0" applyNumberFormat="0">
      <alignment horizontal="left"/>
    </xf>
    <xf numFmtId="0" fontId="33" fillId="48" borderId="0" applyNumberFormat="0"/>
    <xf numFmtId="171" fontId="30" fillId="0" borderId="0" applyFill="0" applyBorder="0" applyProtection="0">
      <alignment vertical="top"/>
    </xf>
    <xf numFmtId="43" fontId="20" fillId="0" borderId="0" applyFont="0" applyFill="0" applyBorder="0" applyAlignment="0" applyProtection="0"/>
    <xf numFmtId="164" fontId="34" fillId="46" borderId="10" applyProtection="0">
      <alignment vertical="top"/>
    </xf>
    <xf numFmtId="172" fontId="34" fillId="46" borderId="10" applyProtection="0">
      <alignment vertical="top"/>
    </xf>
    <xf numFmtId="0" fontId="3" fillId="0" borderId="0"/>
    <xf numFmtId="0" fontId="20" fillId="0" borderId="0"/>
    <xf numFmtId="43" fontId="3" fillId="0" borderId="0" applyFont="0" applyFill="0" applyBorder="0" applyAlignment="0" applyProtection="0"/>
    <xf numFmtId="164" fontId="20" fillId="0" borderId="0" applyFont="0" applyFill="0" applyBorder="0" applyProtection="0">
      <alignment vertical="top"/>
    </xf>
    <xf numFmtId="0" fontId="3" fillId="0" borderId="0"/>
    <xf numFmtId="0" fontId="3" fillId="0" borderId="0"/>
    <xf numFmtId="0" fontId="7" fillId="0" borderId="2" applyNumberFormat="0" applyFill="0" applyAlignment="0" applyProtection="0"/>
    <xf numFmtId="0" fontId="20" fillId="0" borderId="0"/>
    <xf numFmtId="0" fontId="42" fillId="0" borderId="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164" fontId="3" fillId="0" borderId="0" applyFont="0" applyFill="0" applyBorder="0" applyProtection="0">
      <alignment vertical="top"/>
    </xf>
    <xf numFmtId="43" fontId="3" fillId="0" borderId="0" applyFont="0" applyFill="0" applyBorder="0" applyAlignment="0" applyProtection="0"/>
    <xf numFmtId="172" fontId="3" fillId="0" borderId="0" applyFont="0" applyFill="0" applyBorder="0" applyProtection="0">
      <alignment vertical="top"/>
    </xf>
    <xf numFmtId="0" fontId="3" fillId="0" borderId="0"/>
    <xf numFmtId="0" fontId="47" fillId="52" borderId="0" applyBorder="0"/>
    <xf numFmtId="0" fontId="20" fillId="0" borderId="0"/>
    <xf numFmtId="43" fontId="3" fillId="0" borderId="0" applyFont="0" applyFill="0" applyBorder="0" applyAlignment="0" applyProtection="0"/>
    <xf numFmtId="0" fontId="31" fillId="0" borderId="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72" fontId="2" fillId="0" borderId="0" applyFont="0" applyFill="0" applyBorder="0" applyProtection="0">
      <alignment vertical="top"/>
    </xf>
    <xf numFmtId="0" fontId="2" fillId="0" borderId="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8" fillId="0" borderId="0"/>
    <xf numFmtId="0" fontId="64" fillId="0" borderId="0"/>
  </cellStyleXfs>
  <cellXfs count="213">
    <xf numFmtId="0" fontId="0" fillId="0" borderId="0" xfId="0"/>
    <xf numFmtId="0" fontId="36" fillId="50" borderId="34" xfId="96" applyFont="1" applyFill="1" applyBorder="1" applyAlignment="1">
      <alignment horizontal="left" vertical="center" wrapText="1"/>
    </xf>
    <xf numFmtId="0" fontId="36" fillId="50" borderId="25" xfId="96" applyFont="1" applyFill="1" applyBorder="1" applyAlignment="1">
      <alignment horizontal="left" vertical="center" wrapText="1"/>
    </xf>
    <xf numFmtId="0" fontId="36" fillId="50" borderId="30" xfId="96" applyFont="1" applyFill="1" applyBorder="1" applyAlignment="1">
      <alignment horizontal="left" vertical="center" wrapText="1"/>
    </xf>
    <xf numFmtId="0" fontId="40" fillId="48" borderId="32" xfId="96" applyFont="1" applyFill="1" applyBorder="1" applyAlignment="1">
      <alignment horizontal="center" vertical="center" wrapText="1"/>
    </xf>
    <xf numFmtId="0" fontId="46" fillId="50" borderId="0" xfId="96" applyFont="1" applyFill="1"/>
    <xf numFmtId="0" fontId="40" fillId="48" borderId="0" xfId="96" applyFont="1" applyFill="1" applyAlignment="1">
      <alignment horizontal="left" vertical="center" wrapText="1"/>
    </xf>
    <xf numFmtId="0" fontId="36" fillId="50" borderId="11" xfId="96" applyFont="1" applyFill="1" applyBorder="1" applyAlignment="1">
      <alignment horizontal="left" vertical="center" wrapText="1"/>
    </xf>
    <xf numFmtId="0" fontId="3" fillId="0" borderId="0" xfId="96"/>
    <xf numFmtId="0" fontId="3" fillId="0" borderId="0" xfId="96" applyAlignment="1">
      <alignment vertical="center"/>
    </xf>
    <xf numFmtId="0" fontId="35" fillId="0" borderId="0" xfId="96" applyFont="1" applyAlignment="1">
      <alignment vertical="center"/>
    </xf>
    <xf numFmtId="0" fontId="3" fillId="50" borderId="0" xfId="96" applyFill="1"/>
    <xf numFmtId="0" fontId="35" fillId="50" borderId="0" xfId="96" applyFont="1" applyFill="1"/>
    <xf numFmtId="0" fontId="3" fillId="50" borderId="0" xfId="96" applyFill="1" applyAlignment="1">
      <alignment vertical="center"/>
    </xf>
    <xf numFmtId="0" fontId="41" fillId="49" borderId="0" xfId="96" applyFont="1" applyFill="1"/>
    <xf numFmtId="0" fontId="40" fillId="48" borderId="19" xfId="96" applyFont="1" applyFill="1" applyBorder="1" applyAlignment="1">
      <alignment horizontal="left" vertical="center" wrapText="1"/>
    </xf>
    <xf numFmtId="0" fontId="36" fillId="50" borderId="14" xfId="96" applyFont="1" applyFill="1" applyBorder="1" applyAlignment="1">
      <alignment horizontal="left" vertical="center" wrapText="1"/>
    </xf>
    <xf numFmtId="0" fontId="36" fillId="50" borderId="13" xfId="96" applyFont="1" applyFill="1" applyBorder="1" applyAlignment="1">
      <alignment horizontal="left" vertical="center" wrapText="1"/>
    </xf>
    <xf numFmtId="0" fontId="36" fillId="50" borderId="12" xfId="96" applyFont="1" applyFill="1" applyBorder="1" applyAlignment="1">
      <alignment horizontal="left" vertical="center" wrapText="1"/>
    </xf>
    <xf numFmtId="0" fontId="39" fillId="50" borderId="0" xfId="96" applyFont="1" applyFill="1" applyAlignment="1">
      <alignment horizontal="center" vertical="center" wrapText="1"/>
    </xf>
    <xf numFmtId="0" fontId="35" fillId="50" borderId="0" xfId="96" applyFont="1" applyFill="1" applyAlignment="1">
      <alignment vertical="center"/>
    </xf>
    <xf numFmtId="0" fontId="36" fillId="50" borderId="24" xfId="96" applyFont="1" applyFill="1" applyBorder="1" applyAlignment="1">
      <alignment horizontal="left" vertical="center" wrapText="1"/>
    </xf>
    <xf numFmtId="0" fontId="45" fillId="50" borderId="0" xfId="96" applyFont="1" applyFill="1"/>
    <xf numFmtId="0" fontId="39" fillId="50" borderId="0" xfId="96" applyFont="1" applyFill="1" applyAlignment="1">
      <alignment horizontal="center" vertical="top" wrapText="1"/>
    </xf>
    <xf numFmtId="0" fontId="43" fillId="50" borderId="17" xfId="96" applyFont="1" applyFill="1" applyBorder="1" applyAlignment="1">
      <alignment horizontal="center" vertical="center"/>
    </xf>
    <xf numFmtId="0" fontId="43" fillId="50" borderId="16" xfId="96" applyFont="1" applyFill="1" applyBorder="1" applyAlignment="1">
      <alignment horizontal="center" vertical="center"/>
    </xf>
    <xf numFmtId="0" fontId="43" fillId="50" borderId="15" xfId="96" applyFont="1" applyFill="1" applyBorder="1" applyAlignment="1">
      <alignment horizontal="center" vertical="center"/>
    </xf>
    <xf numFmtId="0" fontId="35" fillId="50" borderId="0" xfId="96" applyFont="1" applyFill="1" applyAlignment="1">
      <alignment vertical="top" wrapText="1"/>
    </xf>
    <xf numFmtId="0" fontId="40" fillId="48" borderId="33" xfId="96" applyFont="1" applyFill="1" applyBorder="1" applyAlignment="1">
      <alignment horizontal="center" vertical="center" wrapText="1"/>
    </xf>
    <xf numFmtId="0" fontId="43" fillId="50" borderId="28" xfId="96" applyFont="1" applyFill="1" applyBorder="1" applyAlignment="1">
      <alignment horizontal="center" vertical="center"/>
    </xf>
    <xf numFmtId="0" fontId="43" fillId="50" borderId="20" xfId="96" applyFont="1" applyFill="1" applyBorder="1" applyAlignment="1">
      <alignment horizontal="center" vertical="center"/>
    </xf>
    <xf numFmtId="0" fontId="43" fillId="0" borderId="29" xfId="96" applyFont="1" applyBorder="1" applyAlignment="1">
      <alignment horizontal="center" vertical="center"/>
    </xf>
    <xf numFmtId="0" fontId="36" fillId="0" borderId="0" xfId="96" applyFont="1" applyAlignment="1">
      <alignment horizontal="left" vertical="center" wrapText="1"/>
    </xf>
    <xf numFmtId="0" fontId="40" fillId="48" borderId="31" xfId="96" applyFont="1" applyFill="1" applyBorder="1" applyAlignment="1">
      <alignment horizontal="center" vertical="center" wrapText="1"/>
    </xf>
    <xf numFmtId="0" fontId="36" fillId="50" borderId="11" xfId="96" applyFont="1" applyFill="1" applyBorder="1" applyAlignment="1">
      <alignment horizontal="center" vertical="center" wrapText="1"/>
    </xf>
    <xf numFmtId="0" fontId="36" fillId="50" borderId="30" xfId="96" applyFont="1" applyFill="1" applyBorder="1" applyAlignment="1">
      <alignment horizontal="center" vertical="center" wrapText="1"/>
    </xf>
    <xf numFmtId="0" fontId="37" fillId="50" borderId="0" xfId="96" applyFont="1" applyFill="1" applyAlignment="1">
      <alignment vertical="center"/>
    </xf>
    <xf numFmtId="0" fontId="38" fillId="50" borderId="0" xfId="96" applyFont="1" applyFill="1" applyAlignment="1">
      <alignment vertical="center"/>
    </xf>
    <xf numFmtId="0" fontId="41" fillId="49" borderId="0" xfId="96" applyFont="1" applyFill="1" applyAlignment="1">
      <alignment vertical="center"/>
    </xf>
    <xf numFmtId="0" fontId="36" fillId="50" borderId="0" xfId="96" applyFont="1" applyFill="1" applyAlignment="1">
      <alignment horizontal="left" vertical="center" wrapText="1"/>
    </xf>
    <xf numFmtId="173" fontId="43" fillId="50" borderId="17" xfId="82" applyNumberFormat="1" applyFont="1" applyFill="1" applyBorder="1" applyAlignment="1" applyProtection="1">
      <alignment horizontal="center" vertical="center" wrapText="1"/>
    </xf>
    <xf numFmtId="173" fontId="43" fillId="50" borderId="16" xfId="82" applyNumberFormat="1" applyFont="1" applyFill="1" applyBorder="1" applyAlignment="1" applyProtection="1">
      <alignment horizontal="center" vertical="center" wrapText="1"/>
    </xf>
    <xf numFmtId="0" fontId="36" fillId="50" borderId="13" xfId="73" applyFont="1" applyFill="1" applyBorder="1" applyAlignment="1" applyProtection="1">
      <alignment horizontal="left" vertical="center" wrapText="1"/>
    </xf>
    <xf numFmtId="173" fontId="43" fillId="50" borderId="15" xfId="82" applyNumberFormat="1" applyFont="1" applyFill="1" applyBorder="1" applyAlignment="1" applyProtection="1">
      <alignment horizontal="center" vertical="center" wrapText="1"/>
    </xf>
    <xf numFmtId="173" fontId="35" fillId="50" borderId="0" xfId="82" applyNumberFormat="1" applyFont="1" applyFill="1" applyAlignment="1" applyProtection="1">
      <alignment vertical="center"/>
    </xf>
    <xf numFmtId="0" fontId="35" fillId="50" borderId="0" xfId="96" applyFont="1" applyFill="1" applyAlignment="1">
      <alignment vertical="center" wrapText="1"/>
    </xf>
    <xf numFmtId="0" fontId="40" fillId="48" borderId="22" xfId="96" applyFont="1" applyFill="1" applyBorder="1" applyAlignment="1">
      <alignment horizontal="left" vertical="center" wrapText="1"/>
    </xf>
    <xf numFmtId="0" fontId="36" fillId="50" borderId="18" xfId="96" applyFont="1" applyFill="1" applyBorder="1" applyAlignment="1">
      <alignment horizontal="left" vertical="center" wrapText="1"/>
    </xf>
    <xf numFmtId="173" fontId="43" fillId="50" borderId="19" xfId="82" applyNumberFormat="1" applyFont="1" applyFill="1" applyBorder="1" applyAlignment="1" applyProtection="1">
      <alignment horizontal="center" vertical="center" wrapText="1"/>
    </xf>
    <xf numFmtId="0" fontId="46" fillId="50" borderId="0" xfId="96" applyFont="1" applyFill="1" applyAlignment="1">
      <alignment vertical="center"/>
    </xf>
    <xf numFmtId="0" fontId="36" fillId="53" borderId="13" xfId="96" applyFont="1" applyFill="1" applyBorder="1" applyAlignment="1">
      <alignment horizontal="left" vertical="center" wrapText="1"/>
    </xf>
    <xf numFmtId="0" fontId="43" fillId="53" borderId="16" xfId="96" applyFont="1" applyFill="1" applyBorder="1" applyAlignment="1">
      <alignment horizontal="center" vertical="center"/>
    </xf>
    <xf numFmtId="0" fontId="36" fillId="53" borderId="30" xfId="96" applyFont="1" applyFill="1" applyBorder="1" applyAlignment="1">
      <alignment horizontal="center" vertical="center" wrapText="1"/>
    </xf>
    <xf numFmtId="0" fontId="36" fillId="53" borderId="11" xfId="96" applyFont="1" applyFill="1" applyBorder="1" applyAlignment="1">
      <alignment horizontal="center" vertical="center" wrapText="1"/>
    </xf>
    <xf numFmtId="173" fontId="43" fillId="53" borderId="16" xfId="82" applyNumberFormat="1" applyFont="1" applyFill="1" applyBorder="1" applyAlignment="1" applyProtection="1">
      <alignment horizontal="center" vertical="center" wrapText="1"/>
    </xf>
    <xf numFmtId="0" fontId="2" fillId="0" borderId="0" xfId="111"/>
    <xf numFmtId="0" fontId="52" fillId="55" borderId="0" xfId="0" applyFont="1" applyFill="1"/>
    <xf numFmtId="0" fontId="52" fillId="55" borderId="0" xfId="0" applyFont="1" applyFill="1" applyAlignment="1">
      <alignment vertical="center"/>
    </xf>
    <xf numFmtId="0" fontId="53" fillId="55" borderId="0" xfId="0" applyFont="1" applyFill="1"/>
    <xf numFmtId="0" fontId="40" fillId="57" borderId="40" xfId="0" applyFont="1" applyFill="1" applyBorder="1" applyAlignment="1">
      <alignment horizontal="center" vertical="center" wrapText="1"/>
    </xf>
    <xf numFmtId="0" fontId="54" fillId="55" borderId="0" xfId="0" applyFont="1" applyFill="1" applyAlignment="1">
      <alignment horizontal="center" vertical="center" wrapText="1"/>
    </xf>
    <xf numFmtId="0" fontId="36" fillId="55" borderId="0" xfId="0" applyFont="1" applyFill="1"/>
    <xf numFmtId="0" fontId="40" fillId="57" borderId="18" xfId="0" applyFont="1" applyFill="1" applyBorder="1" applyAlignment="1">
      <alignment horizontal="center" vertical="center" wrapText="1"/>
    </xf>
    <xf numFmtId="0" fontId="40" fillId="57" borderId="44" xfId="0" applyFont="1" applyFill="1" applyBorder="1" applyAlignment="1">
      <alignment horizontal="center" vertical="center" wrapText="1"/>
    </xf>
    <xf numFmtId="0" fontId="40" fillId="57" borderId="45" xfId="0" applyFont="1" applyFill="1" applyBorder="1" applyAlignment="1">
      <alignment horizontal="center" vertical="center" wrapText="1"/>
    </xf>
    <xf numFmtId="0" fontId="40" fillId="57" borderId="47" xfId="0" applyFont="1" applyFill="1" applyBorder="1" applyAlignment="1">
      <alignment horizontal="center" vertical="center" wrapText="1"/>
    </xf>
    <xf numFmtId="0" fontId="40" fillId="57" borderId="48" xfId="0" applyFont="1" applyFill="1" applyBorder="1" applyAlignment="1">
      <alignment horizontal="center" vertical="center" wrapText="1"/>
    </xf>
    <xf numFmtId="0" fontId="55" fillId="55" borderId="0" xfId="0" applyFont="1" applyFill="1" applyAlignment="1">
      <alignment vertical="center"/>
    </xf>
    <xf numFmtId="0" fontId="40" fillId="57" borderId="12" xfId="0" applyFont="1" applyFill="1" applyBorder="1" applyAlignment="1">
      <alignment horizontal="center" vertical="center" wrapText="1"/>
    </xf>
    <xf numFmtId="0" fontId="40" fillId="57" borderId="49" xfId="0" applyFont="1" applyFill="1" applyBorder="1" applyAlignment="1">
      <alignment horizontal="center" vertical="center" wrapText="1"/>
    </xf>
    <xf numFmtId="0" fontId="36" fillId="55" borderId="0" xfId="0" applyFont="1" applyFill="1" applyAlignment="1">
      <alignment horizontal="center" vertical="center" textRotation="90" wrapText="1"/>
    </xf>
    <xf numFmtId="0" fontId="36" fillId="55" borderId="0" xfId="0" applyFont="1" applyFill="1" applyAlignment="1">
      <alignment horizontal="center" vertical="center" wrapText="1"/>
    </xf>
    <xf numFmtId="0" fontId="40" fillId="55" borderId="0" xfId="0" applyFont="1" applyFill="1" applyAlignment="1">
      <alignment horizontal="center" vertical="center" wrapText="1"/>
    </xf>
    <xf numFmtId="0" fontId="36" fillId="55" borderId="0" xfId="0" applyFont="1" applyFill="1" applyAlignment="1">
      <alignment horizontal="center" vertical="center"/>
    </xf>
    <xf numFmtId="0" fontId="36" fillId="55" borderId="44" xfId="0" applyFont="1" applyFill="1" applyBorder="1" applyAlignment="1">
      <alignment horizontal="center" vertical="center" wrapText="1"/>
    </xf>
    <xf numFmtId="0" fontId="36" fillId="55" borderId="50" xfId="0" applyFont="1" applyFill="1" applyBorder="1" applyAlignment="1">
      <alignment horizontal="center" vertical="center" wrapText="1"/>
    </xf>
    <xf numFmtId="0" fontId="0" fillId="59" borderId="0" xfId="0" applyFill="1"/>
    <xf numFmtId="0" fontId="57" fillId="0" borderId="58" xfId="0" applyFont="1" applyBorder="1" applyAlignment="1">
      <alignment horizontal="center" vertical="center"/>
    </xf>
    <xf numFmtId="0" fontId="57" fillId="0" borderId="59" xfId="0" applyFont="1" applyBorder="1" applyAlignment="1">
      <alignment horizontal="center" vertical="center"/>
    </xf>
    <xf numFmtId="0" fontId="36" fillId="55" borderId="60" xfId="0" applyFont="1" applyFill="1" applyBorder="1" applyAlignment="1">
      <alignment horizontal="center" vertical="center" wrapText="1"/>
    </xf>
    <xf numFmtId="0" fontId="0" fillId="0" borderId="60" xfId="0" applyBorder="1"/>
    <xf numFmtId="0" fontId="57" fillId="0" borderId="61" xfId="0" applyFont="1" applyBorder="1" applyAlignment="1">
      <alignment horizontal="center" vertical="center"/>
    </xf>
    <xf numFmtId="1" fontId="57" fillId="0" borderId="61" xfId="0" applyNumberFormat="1" applyFont="1" applyBorder="1" applyAlignment="1">
      <alignment horizontal="center"/>
    </xf>
    <xf numFmtId="0" fontId="57" fillId="0" borderId="61" xfId="132" applyFont="1" applyBorder="1" applyAlignment="1">
      <alignment horizontal="center" vertical="center"/>
    </xf>
    <xf numFmtId="0" fontId="57" fillId="0" borderId="62" xfId="0" applyFont="1" applyBorder="1" applyAlignment="1">
      <alignment horizontal="center" vertical="center"/>
    </xf>
    <xf numFmtId="0" fontId="59" fillId="0" borderId="60" xfId="0" applyFont="1" applyBorder="1" applyAlignment="1">
      <alignment horizontal="center"/>
    </xf>
    <xf numFmtId="0" fontId="60" fillId="0" borderId="60" xfId="0" applyFont="1" applyBorder="1" applyAlignment="1">
      <alignment horizontal="center"/>
    </xf>
    <xf numFmtId="0" fontId="0" fillId="0" borderId="60" xfId="0" applyBorder="1" applyAlignment="1">
      <alignment horizontal="center"/>
    </xf>
    <xf numFmtId="0" fontId="59" fillId="0" borderId="58" xfId="0" applyFont="1" applyBorder="1" applyAlignment="1">
      <alignment horizontal="center"/>
    </xf>
    <xf numFmtId="0" fontId="59" fillId="0" borderId="59" xfId="0" applyFont="1" applyBorder="1" applyAlignment="1">
      <alignment horizontal="center"/>
    </xf>
    <xf numFmtId="0" fontId="0" fillId="0" borderId="60" xfId="0" applyBorder="1" applyAlignment="1">
      <alignment horizontal="center" vertical="center"/>
    </xf>
    <xf numFmtId="0" fontId="34" fillId="0" borderId="60" xfId="0" applyFont="1" applyBorder="1" applyAlignment="1">
      <alignment horizontal="center" vertical="center" wrapText="1"/>
    </xf>
    <xf numFmtId="0" fontId="59" fillId="0" borderId="60" xfId="0" applyFont="1" applyBorder="1" applyAlignment="1">
      <alignment horizontal="center" wrapText="1"/>
    </xf>
    <xf numFmtId="0" fontId="36" fillId="58" borderId="41" xfId="0" applyFont="1" applyFill="1" applyBorder="1" applyAlignment="1">
      <alignment horizontal="center" vertical="center" wrapText="1"/>
    </xf>
    <xf numFmtId="1" fontId="57" fillId="0" borderId="58" xfId="0" applyNumberFormat="1" applyFont="1" applyBorder="1" applyAlignment="1">
      <alignment horizontal="center" vertical="center"/>
    </xf>
    <xf numFmtId="1" fontId="57" fillId="0" borderId="59" xfId="0" applyNumberFormat="1" applyFont="1" applyBorder="1" applyAlignment="1">
      <alignment horizontal="center" vertical="center"/>
    </xf>
    <xf numFmtId="1" fontId="57" fillId="0" borderId="60" xfId="0" applyNumberFormat="1" applyFont="1" applyBorder="1" applyAlignment="1">
      <alignment horizontal="center" vertical="center"/>
    </xf>
    <xf numFmtId="1" fontId="57" fillId="0" borderId="68" xfId="0" applyNumberFormat="1" applyFont="1" applyBorder="1" applyAlignment="1">
      <alignment horizontal="center" vertical="center"/>
    </xf>
    <xf numFmtId="0" fontId="59" fillId="0" borderId="69" xfId="0" applyFont="1" applyBorder="1" applyAlignment="1">
      <alignment horizontal="center"/>
    </xf>
    <xf numFmtId="0" fontId="0" fillId="0" borderId="69" xfId="0" applyBorder="1"/>
    <xf numFmtId="0" fontId="59" fillId="59" borderId="69" xfId="0" applyFont="1" applyFill="1" applyBorder="1" applyAlignment="1">
      <alignment horizontal="center"/>
    </xf>
    <xf numFmtId="0" fontId="0" fillId="0" borderId="69" xfId="0" applyBorder="1" applyAlignment="1">
      <alignment horizontal="center"/>
    </xf>
    <xf numFmtId="0" fontId="59" fillId="0" borderId="68" xfId="0" applyFont="1" applyBorder="1" applyAlignment="1">
      <alignment horizontal="center"/>
    </xf>
    <xf numFmtId="0" fontId="59" fillId="0" borderId="61" xfId="0" applyFont="1" applyBorder="1" applyAlignment="1">
      <alignment horizontal="center"/>
    </xf>
    <xf numFmtId="0" fontId="59" fillId="0" borderId="62" xfId="0" applyFont="1" applyBorder="1" applyAlignment="1">
      <alignment horizontal="center"/>
    </xf>
    <xf numFmtId="1" fontId="59" fillId="0" borderId="70" xfId="0" applyNumberFormat="1" applyFont="1" applyBorder="1" applyAlignment="1">
      <alignment horizontal="center"/>
    </xf>
    <xf numFmtId="0" fontId="0" fillId="0" borderId="71" xfId="0" applyBorder="1"/>
    <xf numFmtId="174" fontId="53" fillId="0" borderId="60" xfId="0" applyNumberFormat="1" applyFont="1" applyBorder="1"/>
    <xf numFmtId="174" fontId="53" fillId="0" borderId="72" xfId="0" applyNumberFormat="1" applyFont="1" applyBorder="1"/>
    <xf numFmtId="174" fontId="0" fillId="0" borderId="60" xfId="0" applyNumberFormat="1" applyBorder="1"/>
    <xf numFmtId="1" fontId="53" fillId="0" borderId="60" xfId="0" applyNumberFormat="1" applyFont="1" applyBorder="1"/>
    <xf numFmtId="17" fontId="60" fillId="0" borderId="60" xfId="0" applyNumberFormat="1" applyFont="1" applyBorder="1" applyAlignment="1">
      <alignment horizontal="center"/>
    </xf>
    <xf numFmtId="17" fontId="59" fillId="0" borderId="60" xfId="0" applyNumberFormat="1" applyFont="1" applyBorder="1" applyAlignment="1">
      <alignment horizontal="center"/>
    </xf>
    <xf numFmtId="1" fontId="60" fillId="0" borderId="60" xfId="0" applyNumberFormat="1" applyFont="1" applyBorder="1" applyAlignment="1">
      <alignment horizontal="center"/>
    </xf>
    <xf numFmtId="1" fontId="59" fillId="0" borderId="60" xfId="0" applyNumberFormat="1" applyFont="1" applyBorder="1" applyAlignment="1">
      <alignment horizontal="center"/>
    </xf>
    <xf numFmtId="1" fontId="0" fillId="0" borderId="60" xfId="0" applyNumberFormat="1" applyBorder="1"/>
    <xf numFmtId="1" fontId="60" fillId="0" borderId="72" xfId="0" applyNumberFormat="1" applyFont="1" applyBorder="1" applyAlignment="1">
      <alignment horizontal="center"/>
    </xf>
    <xf numFmtId="1" fontId="60" fillId="0" borderId="59" xfId="0" applyNumberFormat="1" applyFont="1" applyBorder="1" applyAlignment="1">
      <alignment horizontal="center"/>
    </xf>
    <xf numFmtId="1" fontId="59" fillId="0" borderId="68" xfId="0" applyNumberFormat="1" applyFont="1" applyBorder="1" applyAlignment="1">
      <alignment horizontal="center"/>
    </xf>
    <xf numFmtId="1" fontId="60" fillId="0" borderId="68" xfId="0" applyNumberFormat="1" applyFont="1" applyBorder="1" applyAlignment="1">
      <alignment horizontal="center"/>
    </xf>
    <xf numFmtId="0" fontId="62" fillId="0" borderId="60" xfId="0" applyFont="1" applyBorder="1"/>
    <xf numFmtId="174" fontId="53" fillId="0" borderId="68" xfId="0" applyNumberFormat="1" applyFont="1" applyBorder="1"/>
    <xf numFmtId="0" fontId="62" fillId="0" borderId="67" xfId="0" applyFont="1" applyBorder="1"/>
    <xf numFmtId="174" fontId="0" fillId="0" borderId="71" xfId="0" applyNumberFormat="1" applyBorder="1"/>
    <xf numFmtId="0" fontId="0" fillId="60" borderId="0" xfId="0" applyFill="1"/>
    <xf numFmtId="174" fontId="0" fillId="0" borderId="68" xfId="0" applyNumberFormat="1" applyBorder="1"/>
    <xf numFmtId="0" fontId="0" fillId="0" borderId="72" xfId="0" applyBorder="1"/>
    <xf numFmtId="0" fontId="0" fillId="0" borderId="67" xfId="0" applyBorder="1"/>
    <xf numFmtId="0" fontId="63" fillId="0" borderId="0" xfId="0" applyFont="1"/>
    <xf numFmtId="0" fontId="20" fillId="0" borderId="0" xfId="0" applyFont="1"/>
    <xf numFmtId="175" fontId="0" fillId="0" borderId="0" xfId="1" applyNumberFormat="1" applyFont="1"/>
    <xf numFmtId="0" fontId="0" fillId="0" borderId="0" xfId="0" applyAlignment="1">
      <alignment wrapText="1"/>
    </xf>
    <xf numFmtId="0" fontId="65" fillId="0" borderId="60" xfId="0" applyFont="1" applyBorder="1"/>
    <xf numFmtId="174" fontId="36" fillId="58" borderId="50" xfId="0" applyNumberFormat="1" applyFont="1" applyFill="1" applyBorder="1" applyAlignment="1">
      <alignment horizontal="center" vertical="center" wrapText="1"/>
    </xf>
    <xf numFmtId="174" fontId="36" fillId="58" borderId="51" xfId="0" applyNumberFormat="1" applyFont="1" applyFill="1" applyBorder="1" applyAlignment="1">
      <alignment horizontal="center" vertical="center" wrapText="1"/>
    </xf>
    <xf numFmtId="174" fontId="36" fillId="58" borderId="13" xfId="0" applyNumberFormat="1" applyFont="1" applyFill="1" applyBorder="1" applyAlignment="1">
      <alignment horizontal="center" vertical="center" wrapText="1"/>
    </xf>
    <xf numFmtId="0" fontId="0" fillId="0" borderId="68" xfId="0" applyBorder="1"/>
    <xf numFmtId="1" fontId="62" fillId="0" borderId="60" xfId="0" applyNumberFormat="1" applyFont="1" applyBorder="1"/>
    <xf numFmtId="0" fontId="36" fillId="0" borderId="60"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5" xfId="0" applyFont="1" applyBorder="1" applyAlignment="1">
      <alignment horizontal="center" vertical="center" wrapText="1"/>
    </xf>
    <xf numFmtId="174" fontId="53" fillId="0" borderId="71" xfId="0" applyNumberFormat="1" applyFont="1" applyBorder="1"/>
    <xf numFmtId="0" fontId="0" fillId="0" borderId="52" xfId="0" applyBorder="1"/>
    <xf numFmtId="0" fontId="0" fillId="0" borderId="51" xfId="0" applyBorder="1"/>
    <xf numFmtId="0" fontId="65" fillId="59" borderId="60" xfId="0" applyFont="1" applyFill="1" applyBorder="1" applyAlignment="1">
      <alignment horizontal="center" vertical="center" wrapText="1"/>
    </xf>
    <xf numFmtId="0" fontId="35" fillId="0" borderId="0" xfId="0" applyFont="1"/>
    <xf numFmtId="0" fontId="35" fillId="55" borderId="63" xfId="0" applyFont="1" applyFill="1" applyBorder="1" applyAlignment="1">
      <alignment horizontal="center" vertical="center" wrapText="1"/>
    </xf>
    <xf numFmtId="174" fontId="35" fillId="58" borderId="50" xfId="0" applyNumberFormat="1" applyFont="1" applyFill="1" applyBorder="1" applyAlignment="1">
      <alignment horizontal="center" vertical="center" wrapText="1"/>
    </xf>
    <xf numFmtId="174" fontId="35" fillId="58" borderId="51" xfId="0" applyNumberFormat="1" applyFont="1" applyFill="1" applyBorder="1" applyAlignment="1">
      <alignment horizontal="center" vertical="center" wrapText="1"/>
    </xf>
    <xf numFmtId="174" fontId="35" fillId="58" borderId="13" xfId="0" applyNumberFormat="1" applyFont="1" applyFill="1" applyBorder="1" applyAlignment="1">
      <alignment horizontal="center" vertical="center" wrapText="1"/>
    </xf>
    <xf numFmtId="174" fontId="35" fillId="58" borderId="52" xfId="0" applyNumberFormat="1" applyFont="1" applyFill="1" applyBorder="1" applyAlignment="1">
      <alignment horizontal="center" vertical="center" wrapText="1"/>
    </xf>
    <xf numFmtId="0" fontId="35" fillId="55" borderId="0" xfId="0" applyFont="1" applyFill="1" applyAlignment="1">
      <alignment horizontal="center" vertical="center"/>
    </xf>
    <xf numFmtId="0" fontId="35" fillId="55" borderId="0" xfId="0" applyFont="1" applyFill="1"/>
    <xf numFmtId="0" fontId="59" fillId="0" borderId="58" xfId="0" applyFont="1" applyBorder="1" applyAlignment="1">
      <alignment horizontal="center" vertical="center"/>
    </xf>
    <xf numFmtId="2" fontId="57" fillId="0" borderId="60" xfId="0" applyNumberFormat="1" applyFont="1" applyBorder="1" applyAlignment="1">
      <alignment horizontal="center" vertical="center"/>
    </xf>
    <xf numFmtId="0" fontId="0" fillId="0" borderId="58" xfId="0" applyBorder="1"/>
    <xf numFmtId="0" fontId="61" fillId="0" borderId="60" xfId="0" applyFont="1" applyBorder="1" applyAlignment="1">
      <alignment horizontal="center"/>
    </xf>
    <xf numFmtId="2" fontId="57" fillId="0" borderId="58" xfId="0" applyNumberFormat="1" applyFont="1" applyBorder="1" applyAlignment="1">
      <alignment horizontal="center" vertical="center"/>
    </xf>
    <xf numFmtId="0" fontId="57" fillId="0" borderId="60" xfId="0" applyFont="1" applyBorder="1" applyAlignment="1">
      <alignment horizontal="center"/>
    </xf>
    <xf numFmtId="0" fontId="65" fillId="0" borderId="60" xfId="0" applyFont="1" applyBorder="1" applyAlignment="1">
      <alignment horizontal="center" vertical="center" wrapText="1"/>
    </xf>
    <xf numFmtId="0" fontId="59" fillId="0" borderId="61" xfId="0" applyFont="1" applyBorder="1" applyAlignment="1">
      <alignment horizontal="center" vertical="center"/>
    </xf>
    <xf numFmtId="174" fontId="36" fillId="58" borderId="44" xfId="0" applyNumberFormat="1" applyFont="1" applyFill="1" applyBorder="1" applyAlignment="1">
      <alignment horizontal="center" vertical="center" wrapText="1"/>
    </xf>
    <xf numFmtId="174" fontId="36" fillId="58" borderId="52" xfId="0" applyNumberFormat="1" applyFont="1" applyFill="1" applyBorder="1" applyAlignment="1">
      <alignment horizontal="center" vertical="center" wrapText="1"/>
    </xf>
    <xf numFmtId="174" fontId="36" fillId="58" borderId="45" xfId="0" applyNumberFormat="1" applyFont="1" applyFill="1" applyBorder="1" applyAlignment="1">
      <alignment horizontal="center" vertical="center" wrapText="1"/>
    </xf>
    <xf numFmtId="174" fontId="36" fillId="58" borderId="18" xfId="0" applyNumberFormat="1" applyFont="1" applyFill="1" applyBorder="1" applyAlignment="1">
      <alignment horizontal="center" vertical="center" wrapText="1"/>
    </xf>
    <xf numFmtId="1" fontId="57" fillId="0" borderId="66" xfId="0" applyNumberFormat="1" applyFont="1" applyBorder="1" applyAlignment="1">
      <alignment horizontal="center" vertical="center"/>
    </xf>
    <xf numFmtId="174" fontId="0" fillId="0" borderId="65" xfId="0" applyNumberFormat="1" applyBorder="1"/>
    <xf numFmtId="174" fontId="53" fillId="0" borderId="52" xfId="0" applyNumberFormat="1" applyFont="1" applyBorder="1"/>
    <xf numFmtId="0" fontId="36" fillId="0" borderId="72" xfId="0" applyFont="1" applyBorder="1" applyAlignment="1">
      <alignment horizontal="center" vertical="center" wrapText="1"/>
    </xf>
    <xf numFmtId="1" fontId="53" fillId="0" borderId="67" xfId="0" applyNumberFormat="1" applyFont="1" applyBorder="1"/>
    <xf numFmtId="0" fontId="62" fillId="0" borderId="52" xfId="0" applyFont="1" applyBorder="1"/>
    <xf numFmtId="0" fontId="36" fillId="0" borderId="52" xfId="0" applyFont="1" applyBorder="1" applyAlignment="1">
      <alignment horizontal="center" vertical="center" wrapText="1"/>
    </xf>
    <xf numFmtId="0" fontId="0" fillId="0" borderId="64" xfId="0" applyBorder="1"/>
    <xf numFmtId="0" fontId="36" fillId="0" borderId="51" xfId="0" applyFont="1" applyBorder="1" applyAlignment="1">
      <alignment horizontal="center" vertical="center" wrapText="1"/>
    </xf>
    <xf numFmtId="1" fontId="0" fillId="0" borderId="70" xfId="0" applyNumberFormat="1" applyBorder="1"/>
    <xf numFmtId="0" fontId="49" fillId="54" borderId="0" xfId="74" applyNumberFormat="1" applyFont="1" applyFill="1" applyAlignment="1">
      <alignment horizontal="left" vertical="center"/>
    </xf>
    <xf numFmtId="0" fontId="50" fillId="48" borderId="35" xfId="111" applyFont="1" applyFill="1" applyBorder="1" applyAlignment="1">
      <alignment horizontal="left" vertical="center"/>
    </xf>
    <xf numFmtId="0" fontId="50" fillId="48" borderId="36" xfId="111" applyFont="1" applyFill="1" applyBorder="1" applyAlignment="1">
      <alignment horizontal="left" vertical="center"/>
    </xf>
    <xf numFmtId="0" fontId="50" fillId="48" borderId="57" xfId="111" applyFont="1" applyFill="1" applyBorder="1" applyAlignment="1">
      <alignment horizontal="left" vertical="center"/>
    </xf>
    <xf numFmtId="0" fontId="1" fillId="0" borderId="37" xfId="111" applyFont="1" applyBorder="1" applyAlignment="1">
      <alignment horizontal="left" vertical="top" wrapText="1"/>
    </xf>
    <xf numFmtId="0" fontId="2" fillId="0" borderId="0" xfId="111" applyAlignment="1">
      <alignment horizontal="left" vertical="top" wrapText="1"/>
    </xf>
    <xf numFmtId="0" fontId="2" fillId="0" borderId="53" xfId="111" applyBorder="1" applyAlignment="1">
      <alignment horizontal="left" vertical="top" wrapText="1"/>
    </xf>
    <xf numFmtId="0" fontId="2" fillId="0" borderId="37" xfId="111" applyBorder="1" applyAlignment="1">
      <alignment horizontal="left" vertical="top" wrapText="1"/>
    </xf>
    <xf numFmtId="0" fontId="48" fillId="0" borderId="37" xfId="111" applyFont="1" applyBorder="1" applyAlignment="1">
      <alignment horizontal="left" vertical="top" wrapText="1"/>
    </xf>
    <xf numFmtId="0" fontId="48" fillId="0" borderId="0" xfId="111" applyFont="1" applyAlignment="1">
      <alignment horizontal="left" vertical="top" wrapText="1"/>
    </xf>
    <xf numFmtId="0" fontId="48" fillId="0" borderId="53" xfId="111" applyFont="1" applyBorder="1" applyAlignment="1">
      <alignment horizontal="left" vertical="top" wrapText="1"/>
    </xf>
    <xf numFmtId="0" fontId="48" fillId="0" borderId="54" xfId="111" applyFont="1" applyBorder="1" applyAlignment="1">
      <alignment horizontal="left" vertical="top" wrapText="1"/>
    </xf>
    <xf numFmtId="0" fontId="48" fillId="0" borderId="55" xfId="111" applyFont="1" applyBorder="1" applyAlignment="1">
      <alignment horizontal="left" vertical="top" wrapText="1"/>
    </xf>
    <xf numFmtId="0" fontId="48" fillId="0" borderId="56" xfId="111" applyFont="1" applyBorder="1" applyAlignment="1">
      <alignment horizontal="left" vertical="top" wrapText="1"/>
    </xf>
    <xf numFmtId="0" fontId="46" fillId="50" borderId="0" xfId="96" applyFont="1" applyFill="1"/>
    <xf numFmtId="0" fontId="40" fillId="48" borderId="23" xfId="96" applyFont="1" applyFill="1" applyBorder="1" applyAlignment="1">
      <alignment horizontal="center" vertical="center" wrapText="1"/>
    </xf>
    <xf numFmtId="0" fontId="40" fillId="48" borderId="27" xfId="96" applyFont="1" applyFill="1" applyBorder="1" applyAlignment="1">
      <alignment horizontal="center" vertical="center" wrapText="1"/>
    </xf>
    <xf numFmtId="0" fontId="40" fillId="48" borderId="21" xfId="96" applyFont="1" applyFill="1" applyBorder="1" applyAlignment="1">
      <alignment horizontal="center" vertical="center" wrapText="1"/>
    </xf>
    <xf numFmtId="0" fontId="40" fillId="48" borderId="22" xfId="96" applyFont="1" applyFill="1" applyBorder="1" applyAlignment="1">
      <alignment horizontal="center" vertical="center" wrapText="1"/>
    </xf>
    <xf numFmtId="0" fontId="40" fillId="48" borderId="26" xfId="96" applyFont="1" applyFill="1" applyBorder="1" applyAlignment="1">
      <alignment horizontal="center" vertical="center" wrapText="1"/>
    </xf>
    <xf numFmtId="0" fontId="40" fillId="48" borderId="20" xfId="96" applyFont="1" applyFill="1" applyBorder="1" applyAlignment="1">
      <alignment horizontal="center" vertical="center" wrapText="1"/>
    </xf>
    <xf numFmtId="0" fontId="40" fillId="51" borderId="26" xfId="96" applyFont="1" applyFill="1" applyBorder="1" applyAlignment="1">
      <alignment horizontal="center" vertical="center" wrapText="1"/>
    </xf>
    <xf numFmtId="0" fontId="40" fillId="51" borderId="20" xfId="96" applyFont="1" applyFill="1" applyBorder="1" applyAlignment="1">
      <alignment horizontal="center" vertical="center" wrapText="1"/>
    </xf>
    <xf numFmtId="0" fontId="36" fillId="55" borderId="0" xfId="0" applyFont="1" applyFill="1"/>
    <xf numFmtId="0" fontId="40" fillId="57" borderId="23" xfId="0" applyFont="1" applyFill="1" applyBorder="1" applyAlignment="1">
      <alignment horizontal="center" vertical="center" wrapText="1"/>
    </xf>
    <xf numFmtId="0" fontId="40" fillId="57" borderId="21" xfId="0" applyFont="1" applyFill="1" applyBorder="1" applyAlignment="1">
      <alignment horizontal="center" vertical="center" wrapText="1"/>
    </xf>
    <xf numFmtId="0" fontId="40" fillId="57" borderId="39" xfId="0" applyFont="1" applyFill="1" applyBorder="1" applyAlignment="1">
      <alignment horizontal="center" vertical="center" wrapText="1"/>
    </xf>
    <xf numFmtId="0" fontId="40" fillId="57" borderId="46" xfId="0" applyFont="1" applyFill="1" applyBorder="1" applyAlignment="1">
      <alignment horizontal="center" vertical="center" wrapText="1"/>
    </xf>
    <xf numFmtId="0" fontId="40" fillId="57" borderId="40" xfId="0" applyFont="1" applyFill="1" applyBorder="1" applyAlignment="1">
      <alignment horizontal="center" vertical="center" wrapText="1"/>
    </xf>
    <xf numFmtId="0" fontId="40" fillId="57" borderId="41" xfId="0" applyFont="1" applyFill="1" applyBorder="1" applyAlignment="1">
      <alignment horizontal="center" vertical="center" wrapText="1"/>
    </xf>
    <xf numFmtId="0" fontId="40" fillId="57" borderId="42" xfId="0" applyFont="1" applyFill="1" applyBorder="1" applyAlignment="1">
      <alignment horizontal="center" vertical="center" wrapText="1"/>
    </xf>
    <xf numFmtId="0" fontId="40" fillId="57" borderId="43" xfId="0" applyFont="1" applyFill="1" applyBorder="1" applyAlignment="1">
      <alignment horizontal="center" vertical="center" wrapText="1"/>
    </xf>
    <xf numFmtId="0" fontId="53" fillId="55" borderId="0" xfId="0" applyFont="1" applyFill="1"/>
    <xf numFmtId="0" fontId="36" fillId="55" borderId="0" xfId="0" applyFont="1" applyFill="1" applyAlignment="1">
      <alignment vertical="center" textRotation="90"/>
    </xf>
    <xf numFmtId="0" fontId="55" fillId="55" borderId="0" xfId="0" applyFont="1" applyFill="1" applyAlignment="1">
      <alignment horizontal="left" vertical="center" textRotation="90"/>
    </xf>
    <xf numFmtId="0" fontId="46" fillId="55" borderId="0" xfId="0" applyFont="1" applyFill="1"/>
    <xf numFmtId="0" fontId="41" fillId="56" borderId="0" xfId="0" applyFont="1" applyFill="1" applyAlignment="1">
      <alignment horizontal="left" vertical="center"/>
    </xf>
    <xf numFmtId="0" fontId="53" fillId="55" borderId="38" xfId="0" applyFont="1" applyFill="1" applyBorder="1"/>
  </cellXfs>
  <cellStyles count="134">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Calculation" xfId="13" builtinId="22" hidden="1"/>
    <cellStyle name="Check Cell" xfId="15" builtinId="23" hidden="1"/>
    <cellStyle name="Column 1" xfId="66" xr:uid="{00000000-0005-0000-0000-00001B000000}"/>
    <cellStyle name="Column 2 + 3" xfId="67" xr:uid="{00000000-0005-0000-0000-00001C000000}"/>
    <cellStyle name="Column 4" xfId="68" xr:uid="{00000000-0005-0000-0000-00001D000000}"/>
    <cellStyle name="Comma" xfId="1" builtinId="3" customBuiltin="1"/>
    <cellStyle name="Comma 2" xfId="77" xr:uid="{5466FA3D-4AD1-4761-BB47-54A155B78D43}"/>
    <cellStyle name="Comma 2 2" xfId="89" xr:uid="{F031B092-AF95-465D-AD2E-7FF7C0817E92}"/>
    <cellStyle name="Comma 2 2 2" xfId="91" xr:uid="{55A0B800-182F-46FF-93E0-621B7969FA6A}"/>
    <cellStyle name="Comma 2 2 2 2" xfId="105" xr:uid="{F5C74454-827C-418F-89F8-C9F0CD3EC8A9}"/>
    <cellStyle name="Comma 2 2 2 2 2" xfId="128" xr:uid="{5E9ED002-3824-4864-836E-11BC07BB29B8}"/>
    <cellStyle name="Comma 2 2 3" xfId="103" xr:uid="{38E8AE11-586C-4529-9B93-A78D5D116118}"/>
    <cellStyle name="Comma 2 2 3 2" xfId="126" xr:uid="{57E17717-52AF-48BB-AADA-D4D7C78422C8}"/>
    <cellStyle name="Comma 2 3" xfId="99" xr:uid="{9D3486C1-69C7-44A6-9A53-9125867086C6}"/>
    <cellStyle name="Comma 2 3 2" xfId="108" xr:uid="{AE47E57C-9C2C-4C0B-AE26-7682103CF51E}"/>
    <cellStyle name="Comma 2 3 2 2" xfId="131" xr:uid="{2529DF22-35FD-48C1-904B-5F35B8E16849}"/>
    <cellStyle name="Comma 2 3 3" xfId="123" xr:uid="{14F10969-14C4-4920-BA5D-FC677E0C85B2}"/>
    <cellStyle name="Comma 2 4" xfId="101" xr:uid="{95E36A92-A88F-41FF-AF97-11AA8A528FB8}"/>
    <cellStyle name="Comma 2 4 2" xfId="124" xr:uid="{B6D963EA-FF7B-4DCB-8EA8-C7A912D739CF}"/>
    <cellStyle name="Comma 3" xfId="82" xr:uid="{247B6C1E-828B-493F-A8B7-86551D8867B2}"/>
    <cellStyle name="Comma 3 2" xfId="90" xr:uid="{33CBB85A-A3EF-4B4D-8204-A8AC2FC651EF}"/>
    <cellStyle name="Comma 3 2 2" xfId="92" xr:uid="{427D9919-04E2-4265-8A7B-824409C78345}"/>
    <cellStyle name="Comma 3 2 2 2" xfId="106" xr:uid="{CF58EC8F-7A60-4EAA-BF0E-F7957F98D92D}"/>
    <cellStyle name="Comma 3 2 2 2 2" xfId="129" xr:uid="{9203C850-226B-4787-97A1-72BDA258BB62}"/>
    <cellStyle name="Comma 3 2 2 3" xfId="118" xr:uid="{D4253B7F-E3F3-4D45-B541-7AAF9902C69E}"/>
    <cellStyle name="Comma 3 2 3" xfId="104" xr:uid="{3586B554-DE9C-4FF5-9A61-01DAD1F09EE4}"/>
    <cellStyle name="Comma 3 2 3 2" xfId="127" xr:uid="{CDA9C046-83F0-4E2E-A7DC-52A7450052F8}"/>
    <cellStyle name="Comma 3 2 4" xfId="117" xr:uid="{206A688C-4795-411B-9538-4AD496C77EC6}"/>
    <cellStyle name="Comma 3 3" xfId="102" xr:uid="{3A6EDBEA-7E1E-4C39-95B3-98863D718C4C}"/>
    <cellStyle name="Comma 3 3 2" xfId="125" xr:uid="{5D291A20-97DD-4AD0-B64C-5F6258534C58}"/>
    <cellStyle name="Comma 3 4" xfId="114" xr:uid="{C0A5C293-0A33-416F-9334-9181E9E3E94A}"/>
    <cellStyle name="Comma 4 3" xfId="94" xr:uid="{F18B24E5-9732-4137-A80F-A8CD1E33A2CE}"/>
    <cellStyle name="Comma 4 3 2" xfId="107" xr:uid="{E1D63A5C-8B98-4773-B520-B90DE6688EFF}"/>
    <cellStyle name="Comma 4 3 2 2" xfId="130" xr:uid="{1B95FC51-0690-4459-AC26-0AE8BEBBD592}"/>
    <cellStyle name="Comma 4 3 3" xfId="120" xr:uid="{A83592AB-4C8B-411E-9134-FCC3E334634D}"/>
    <cellStyle name="Counterflow" xfId="54" xr:uid="{00000000-0005-0000-0000-00001F000000}"/>
    <cellStyle name="DateLong" xfId="60" xr:uid="{00000000-0005-0000-0000-000020000000}"/>
    <cellStyle name="DateShort" xfId="61" xr:uid="{00000000-0005-0000-0000-000021000000}"/>
    <cellStyle name="DateShort 2" xfId="76" xr:uid="{9B5135CC-83C0-47D4-A13E-719FBAC04D49}"/>
    <cellStyle name="Descriptor text" xfId="75" xr:uid="{0C9727FC-1AFB-4CAD-B7A5-695CBA1874A6}"/>
    <cellStyle name="Documentation" xfId="59" xr:uid="{00000000-0005-0000-0000-000022000000}"/>
    <cellStyle name="Explanatory Text" xfId="18" builtinId="53" hidden="1"/>
    <cellStyle name="Export" xfId="56" xr:uid="{00000000-0005-0000-0000-000024000000}"/>
    <cellStyle name="Factor" xfId="62" xr:uid="{00000000-0005-0000-0000-000025000000}"/>
    <cellStyle name="Good" xfId="8" builtinId="26" hidden="1"/>
    <cellStyle name="Hard coded" xfId="57" xr:uid="{00000000-0005-0000-0000-000027000000}"/>
    <cellStyle name="Heading" xfId="74" xr:uid="{50065C1D-05CB-4AF6-B1FA-48082C151DF2}"/>
    <cellStyle name="Heading 1" xfId="4" builtinId="16" hidden="1"/>
    <cellStyle name="Heading 2" xfId="5" builtinId="17" hidden="1"/>
    <cellStyle name="Heading 2" xfId="73" builtinId="17"/>
    <cellStyle name="Heading 2 2" xfId="86" xr:uid="{6740290F-9291-453E-8E88-DF04378AD907}"/>
    <cellStyle name="Heading 3" xfId="6" builtinId="18" hidden="1"/>
    <cellStyle name="Heading 4" xfId="7" builtinId="19" hidden="1"/>
    <cellStyle name="Import" xfId="55" xr:uid="{00000000-0005-0000-0000-00002C000000}"/>
    <cellStyle name="Input" xfId="11" builtinId="20" hidden="1"/>
    <cellStyle name="Input%" xfId="79" xr:uid="{6F2E4B02-A8AB-4069-83C3-7EB02AA4EFDB}"/>
    <cellStyle name="InputStyle" xfId="78" xr:uid="{59123216-AA5D-448E-A186-C2542AC59427}"/>
    <cellStyle name="Level 1 Heading" xfId="63" xr:uid="{00000000-0005-0000-0000-00002E000000}"/>
    <cellStyle name="Level 2 Heading" xfId="64" xr:uid="{00000000-0005-0000-0000-00002F000000}"/>
    <cellStyle name="Level 3 Heading" xfId="65" xr:uid="{00000000-0005-0000-0000-000030000000}"/>
    <cellStyle name="Linked Cell" xfId="14" builtinId="24" hidden="1"/>
    <cellStyle name="Neutral" xfId="10" builtinId="28" hidden="1"/>
    <cellStyle name="Normal" xfId="0" builtinId="0"/>
    <cellStyle name="Normal 2" xfId="69" xr:uid="{00000000-0005-0000-0000-000034000000}"/>
    <cellStyle name="Normal 2 2" xfId="87" xr:uid="{62054FA3-D2E0-4291-AF27-50D5B466DFE9}"/>
    <cellStyle name="Normal 2 3 2" xfId="96" xr:uid="{1CF4FE9C-01FB-4AEB-A277-076019982FC1}"/>
    <cellStyle name="Normal 2 3 2 2" xfId="122" xr:uid="{16BDB0A9-98E4-4871-AE79-777F145444FB}"/>
    <cellStyle name="Normal 2 4 2" xfId="93" xr:uid="{EF7D1852-279D-4217-8B0D-6D3994BAAEAE}"/>
    <cellStyle name="Normal 2 4 2 2" xfId="119" xr:uid="{9D6A2E4E-BAA6-46F2-BF45-2E9143F351B3}"/>
    <cellStyle name="Normal 2 5" xfId="83" xr:uid="{7822E0A8-1244-49BB-9CCC-7973BEC5EB22}"/>
    <cellStyle name="Normal 3" xfId="70" xr:uid="{00000000-0005-0000-0000-000035000000}"/>
    <cellStyle name="Normal 3 2" xfId="80" xr:uid="{19394FB2-B937-4EB0-AEF4-E8320D5254B2}"/>
    <cellStyle name="Normal 3 2 2" xfId="85" xr:uid="{257D0996-56D3-4C05-AD40-BE4F6E2769D2}"/>
    <cellStyle name="Normal 3 2 2 2" xfId="116" xr:uid="{5C985DC6-58BC-4F81-89E5-68DC43BCE188}"/>
    <cellStyle name="Normal 3 3" xfId="113" xr:uid="{F9F7D081-E336-42A8-8963-723B9E3C3C95}"/>
    <cellStyle name="Normal 3 7" xfId="88" xr:uid="{3ED7F4F8-7879-40D8-8252-268052962AB8}"/>
    <cellStyle name="Normal 4" xfId="81" xr:uid="{6966D0FC-7482-40AA-8159-BE89E4D009A9}"/>
    <cellStyle name="Normal 4 2 2" xfId="98" xr:uid="{40AAD176-3466-4ED4-9736-42FA58022991}"/>
    <cellStyle name="Normal 5" xfId="71" xr:uid="{1D30D802-B0CC-46DA-A3D6-BD4EE4B1DFBA}"/>
    <cellStyle name="Normal 6" xfId="111" xr:uid="{7F21BCFE-CCE5-4BD1-BC3D-988BD8F9CDCF}"/>
    <cellStyle name="Normal 6 2" xfId="133" xr:uid="{0072C21A-B3D5-4722-A131-2B9C1A7F0F38}"/>
    <cellStyle name="Normal 7 2" xfId="84" xr:uid="{74BDAED2-2BEB-475D-9F1A-A27A1CE8845F}"/>
    <cellStyle name="Normal 7 2 2" xfId="115" xr:uid="{BF81EF46-3CF2-4382-BDB2-2751605E343A}"/>
    <cellStyle name="Normal 8 2 3" xfId="100" xr:uid="{2DCF239F-1AC8-43F4-B96F-3C5B45E5D4F0}"/>
    <cellStyle name="Normal_Sheet2" xfId="132" xr:uid="{102316E5-3D69-46D8-A52F-3DBF250C512D}"/>
    <cellStyle name="Note" xfId="17" builtinId="10" hidden="1"/>
    <cellStyle name="Output" xfId="12" builtinId="21" hidden="1"/>
    <cellStyle name="Pantone 130C" xfId="47" xr:uid="{00000000-0005-0000-0000-000038000000}"/>
    <cellStyle name="Pantone 179C" xfId="52" xr:uid="{00000000-0005-0000-0000-000039000000}"/>
    <cellStyle name="Pantone 232C" xfId="51" xr:uid="{00000000-0005-0000-0000-00003A000000}"/>
    <cellStyle name="Pantone 2745C" xfId="50" xr:uid="{00000000-0005-0000-0000-00003B000000}"/>
    <cellStyle name="Pantone 279C" xfId="45" xr:uid="{00000000-0005-0000-0000-00003C000000}"/>
    <cellStyle name="Pantone 281C" xfId="44" xr:uid="{00000000-0005-0000-0000-00003D000000}"/>
    <cellStyle name="Pantone 451C" xfId="46" xr:uid="{00000000-0005-0000-0000-00003E000000}"/>
    <cellStyle name="Pantone 583C" xfId="49" xr:uid="{00000000-0005-0000-0000-00003F000000}"/>
    <cellStyle name="Pantone 633C" xfId="48" xr:uid="{00000000-0005-0000-0000-000040000000}"/>
    <cellStyle name="Percent" xfId="2" builtinId="5" customBuiltin="1"/>
    <cellStyle name="Percent [0]" xfId="58" xr:uid="{00000000-0005-0000-0000-000042000000}"/>
    <cellStyle name="Percent 2" xfId="72" xr:uid="{6068D9AA-0AC4-4493-AEA5-E95BAAE2ADC2}"/>
    <cellStyle name="Percent 2 4" xfId="95" xr:uid="{D95D4BB7-EDA8-448C-9483-77B7CD0B63EC}"/>
    <cellStyle name="Percent 2 4 2" xfId="121" xr:uid="{C047D4E0-3195-417E-8964-579C561006F4}"/>
    <cellStyle name="Percent 3" xfId="109" xr:uid="{7D9DE321-4B0A-40B9-9E29-2651135A0346}"/>
    <cellStyle name="Percent 4" xfId="110" xr:uid="{AD85D87D-FA9D-480B-83B5-3295A7AF40CF}"/>
    <cellStyle name="Percent 5" xfId="112" xr:uid="{613FFD3F-17C0-407F-B76F-5F247C38B3EB}"/>
    <cellStyle name="Title" xfId="3" builtinId="15" hidden="1"/>
    <cellStyle name="Total" xfId="19" builtinId="25" hidden="1"/>
    <cellStyle name="Validation error" xfId="97" xr:uid="{39B6CD17-35E6-4A64-BCDA-397E24F672D5}"/>
    <cellStyle name="Warning Text" xfId="16" builtinId="11" customBuiltin="1"/>
    <cellStyle name="WIP" xfId="53" xr:uid="{00000000-0005-0000-0000-000046000000}"/>
  </cellStyles>
  <dxfs count="0"/>
  <tableStyles count="0" defaultTableStyle="TableStyleMedium2" defaultPivotStyle="PivotStyleLight16"/>
  <colors>
    <mruColors>
      <color rgb="FFB97BB4"/>
      <color rgb="FF57A1DF"/>
      <color rgb="FF98C561"/>
      <color rgb="FFCCCCCE"/>
      <color rgb="FFFFDB8E"/>
      <color rgb="FFF0F3B3"/>
      <color rgb="FF0071CE"/>
      <color rgb="FFE2E768"/>
      <color rgb="FFDCECF5"/>
      <color rgb="FF943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wa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Ofwat">
      <a:majorFont>
        <a:latin typeface="Krub SemiBold"/>
        <a:ea typeface=""/>
        <a:cs typeface=""/>
      </a:majorFont>
      <a:minorFont>
        <a:latin typeface="Krub"/>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5ED38-CB1A-48F2-B1B6-944EDDE3D0CD}">
  <dimension ref="B2:G21"/>
  <sheetViews>
    <sheetView topLeftCell="A21" workbookViewId="0">
      <selection activeCell="L21" sqref="L21"/>
    </sheetView>
  </sheetViews>
  <sheetFormatPr defaultRowHeight="12.5" x14ac:dyDescent="0.25"/>
  <cols>
    <col min="1" max="1" width="3.81640625" customWidth="1"/>
    <col min="2" max="2" width="63.26953125" customWidth="1"/>
  </cols>
  <sheetData>
    <row r="2" spans="2:7" ht="19" x14ac:dyDescent="0.25">
      <c r="B2" s="175" t="s">
        <v>0</v>
      </c>
      <c r="C2" s="175"/>
      <c r="D2" s="175"/>
      <c r="E2" s="175"/>
      <c r="F2" s="175"/>
      <c r="G2" s="175"/>
    </row>
    <row r="3" spans="2:7" ht="14.5" thickBot="1" x14ac:dyDescent="0.35">
      <c r="B3" s="55"/>
      <c r="C3" s="55"/>
      <c r="D3" s="55"/>
      <c r="E3" s="55"/>
      <c r="F3" s="55"/>
      <c r="G3" s="55"/>
    </row>
    <row r="4" spans="2:7" ht="16" thickBot="1" x14ac:dyDescent="0.3">
      <c r="B4" s="176" t="s">
        <v>1</v>
      </c>
      <c r="C4" s="177"/>
      <c r="D4" s="177"/>
      <c r="E4" s="177"/>
      <c r="F4" s="177"/>
      <c r="G4" s="178"/>
    </row>
    <row r="5" spans="2:7" x14ac:dyDescent="0.25">
      <c r="B5" s="179" t="s">
        <v>2</v>
      </c>
      <c r="C5" s="180"/>
      <c r="D5" s="180"/>
      <c r="E5" s="180"/>
      <c r="F5" s="180"/>
      <c r="G5" s="181"/>
    </row>
    <row r="6" spans="2:7" x14ac:dyDescent="0.25">
      <c r="B6" s="182"/>
      <c r="C6" s="180"/>
      <c r="D6" s="180"/>
      <c r="E6" s="180"/>
      <c r="F6" s="180"/>
      <c r="G6" s="181"/>
    </row>
    <row r="7" spans="2:7" ht="18" customHeight="1" thickBot="1" x14ac:dyDescent="0.3">
      <c r="B7" s="182"/>
      <c r="C7" s="180"/>
      <c r="D7" s="180"/>
      <c r="E7" s="180"/>
      <c r="F7" s="180"/>
      <c r="G7" s="181"/>
    </row>
    <row r="8" spans="2:7" ht="16" thickBot="1" x14ac:dyDescent="0.3">
      <c r="B8" s="176" t="s">
        <v>3</v>
      </c>
      <c r="C8" s="177"/>
      <c r="D8" s="177"/>
      <c r="E8" s="177"/>
      <c r="F8" s="177"/>
      <c r="G8" s="178"/>
    </row>
    <row r="9" spans="2:7" x14ac:dyDescent="0.25">
      <c r="B9" s="183" t="s">
        <v>4</v>
      </c>
      <c r="C9" s="184"/>
      <c r="D9" s="184"/>
      <c r="E9" s="184"/>
      <c r="F9" s="184"/>
      <c r="G9" s="185"/>
    </row>
    <row r="10" spans="2:7" x14ac:dyDescent="0.25">
      <c r="B10" s="183"/>
      <c r="C10" s="184"/>
      <c r="D10" s="184"/>
      <c r="E10" s="184"/>
      <c r="F10" s="184"/>
      <c r="G10" s="185"/>
    </row>
    <row r="11" spans="2:7" x14ac:dyDescent="0.25">
      <c r="B11" s="183"/>
      <c r="C11" s="184"/>
      <c r="D11" s="184"/>
      <c r="E11" s="184"/>
      <c r="F11" s="184"/>
      <c r="G11" s="185"/>
    </row>
    <row r="12" spans="2:7" x14ac:dyDescent="0.25">
      <c r="B12" s="183"/>
      <c r="C12" s="184"/>
      <c r="D12" s="184"/>
      <c r="E12" s="184"/>
      <c r="F12" s="184"/>
      <c r="G12" s="185"/>
    </row>
    <row r="13" spans="2:7" x14ac:dyDescent="0.25">
      <c r="B13" s="183"/>
      <c r="C13" s="184"/>
      <c r="D13" s="184"/>
      <c r="E13" s="184"/>
      <c r="F13" s="184"/>
      <c r="G13" s="185"/>
    </row>
    <row r="14" spans="2:7" x14ac:dyDescent="0.25">
      <c r="B14" s="183"/>
      <c r="C14" s="184"/>
      <c r="D14" s="184"/>
      <c r="E14" s="184"/>
      <c r="F14" s="184"/>
      <c r="G14" s="185"/>
    </row>
    <row r="15" spans="2:7" x14ac:dyDescent="0.25">
      <c r="B15" s="183"/>
      <c r="C15" s="184"/>
      <c r="D15" s="184"/>
      <c r="E15" s="184"/>
      <c r="F15" s="184"/>
      <c r="G15" s="185"/>
    </row>
    <row r="16" spans="2:7" x14ac:dyDescent="0.25">
      <c r="B16" s="183"/>
      <c r="C16" s="184"/>
      <c r="D16" s="184"/>
      <c r="E16" s="184"/>
      <c r="F16" s="184"/>
      <c r="G16" s="185"/>
    </row>
    <row r="17" spans="2:7" x14ac:dyDescent="0.25">
      <c r="B17" s="183"/>
      <c r="C17" s="184"/>
      <c r="D17" s="184"/>
      <c r="E17" s="184"/>
      <c r="F17" s="184"/>
      <c r="G17" s="185"/>
    </row>
    <row r="18" spans="2:7" x14ac:dyDescent="0.25">
      <c r="B18" s="183"/>
      <c r="C18" s="184"/>
      <c r="D18" s="184"/>
      <c r="E18" s="184"/>
      <c r="F18" s="184"/>
      <c r="G18" s="185"/>
    </row>
    <row r="19" spans="2:7" x14ac:dyDescent="0.25">
      <c r="B19" s="183"/>
      <c r="C19" s="184"/>
      <c r="D19" s="184"/>
      <c r="E19" s="184"/>
      <c r="F19" s="184"/>
      <c r="G19" s="185"/>
    </row>
    <row r="20" spans="2:7" ht="13.75" customHeight="1" x14ac:dyDescent="0.25">
      <c r="B20" s="183"/>
      <c r="C20" s="184"/>
      <c r="D20" s="184"/>
      <c r="E20" s="184"/>
      <c r="F20" s="184"/>
      <c r="G20" s="185"/>
    </row>
    <row r="21" spans="2:7" ht="409.6" customHeight="1" thickBot="1" x14ac:dyDescent="0.3">
      <c r="B21" s="186"/>
      <c r="C21" s="187"/>
      <c r="D21" s="187"/>
      <c r="E21" s="187"/>
      <c r="F21" s="187"/>
      <c r="G21" s="188"/>
    </row>
  </sheetData>
  <mergeCells count="5">
    <mergeCell ref="B2:G2"/>
    <mergeCell ref="B4:G4"/>
    <mergeCell ref="B5:G7"/>
    <mergeCell ref="B8:G8"/>
    <mergeCell ref="B9:G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8DC95-CDA9-482A-BDEE-14E06B2D2120}">
  <dimension ref="B2:G17"/>
  <sheetViews>
    <sheetView tabSelected="1" workbookViewId="0">
      <selection activeCell="J16" sqref="J16"/>
    </sheetView>
  </sheetViews>
  <sheetFormatPr defaultRowHeight="12.5" x14ac:dyDescent="0.25"/>
  <cols>
    <col min="1" max="1" width="3.81640625" customWidth="1"/>
    <col min="2" max="2" width="63.26953125" customWidth="1"/>
  </cols>
  <sheetData>
    <row r="2" spans="2:7" ht="19" x14ac:dyDescent="0.25">
      <c r="B2" s="175" t="s">
        <v>1068</v>
      </c>
      <c r="C2" s="175"/>
      <c r="D2" s="175"/>
      <c r="E2" s="175"/>
      <c r="F2" s="175"/>
      <c r="G2" s="175"/>
    </row>
    <row r="3" spans="2:7" ht="14.5" thickBot="1" x14ac:dyDescent="0.35">
      <c r="B3" s="55"/>
      <c r="C3" s="55"/>
      <c r="D3" s="55"/>
      <c r="E3" s="55"/>
      <c r="F3" s="55"/>
      <c r="G3" s="55"/>
    </row>
    <row r="4" spans="2:7" ht="16" thickBot="1" x14ac:dyDescent="0.3">
      <c r="B4" s="176"/>
      <c r="C4" s="177"/>
      <c r="D4" s="177"/>
      <c r="E4" s="177"/>
      <c r="F4" s="177"/>
      <c r="G4" s="178"/>
    </row>
    <row r="5" spans="2:7" x14ac:dyDescent="0.25">
      <c r="B5" s="183" t="s">
        <v>1069</v>
      </c>
      <c r="C5" s="184"/>
      <c r="D5" s="184"/>
      <c r="E5" s="184"/>
      <c r="F5" s="184"/>
      <c r="G5" s="185"/>
    </row>
    <row r="6" spans="2:7" x14ac:dyDescent="0.25">
      <c r="B6" s="183"/>
      <c r="C6" s="184"/>
      <c r="D6" s="184"/>
      <c r="E6" s="184"/>
      <c r="F6" s="184"/>
      <c r="G6" s="185"/>
    </row>
    <row r="7" spans="2:7" x14ac:dyDescent="0.25">
      <c r="B7" s="183"/>
      <c r="C7" s="184"/>
      <c r="D7" s="184"/>
      <c r="E7" s="184"/>
      <c r="F7" s="184"/>
      <c r="G7" s="185"/>
    </row>
    <row r="8" spans="2:7" x14ac:dyDescent="0.25">
      <c r="B8" s="183"/>
      <c r="C8" s="184"/>
      <c r="D8" s="184"/>
      <c r="E8" s="184"/>
      <c r="F8" s="184"/>
      <c r="G8" s="185"/>
    </row>
    <row r="9" spans="2:7" x14ac:dyDescent="0.25">
      <c r="B9" s="183"/>
      <c r="C9" s="184"/>
      <c r="D9" s="184"/>
      <c r="E9" s="184"/>
      <c r="F9" s="184"/>
      <c r="G9" s="185"/>
    </row>
    <row r="10" spans="2:7" x14ac:dyDescent="0.25">
      <c r="B10" s="183"/>
      <c r="C10" s="184"/>
      <c r="D10" s="184"/>
      <c r="E10" s="184"/>
      <c r="F10" s="184"/>
      <c r="G10" s="185"/>
    </row>
    <row r="11" spans="2:7" x14ac:dyDescent="0.25">
      <c r="B11" s="183"/>
      <c r="C11" s="184"/>
      <c r="D11" s="184"/>
      <c r="E11" s="184"/>
      <c r="F11" s="184"/>
      <c r="G11" s="185"/>
    </row>
    <row r="12" spans="2:7" x14ac:dyDescent="0.25">
      <c r="B12" s="183"/>
      <c r="C12" s="184"/>
      <c r="D12" s="184"/>
      <c r="E12" s="184"/>
      <c r="F12" s="184"/>
      <c r="G12" s="185"/>
    </row>
    <row r="13" spans="2:7" x14ac:dyDescent="0.25">
      <c r="B13" s="183"/>
      <c r="C13" s="184"/>
      <c r="D13" s="184"/>
      <c r="E13" s="184"/>
      <c r="F13" s="184"/>
      <c r="G13" s="185"/>
    </row>
    <row r="14" spans="2:7" x14ac:dyDescent="0.25">
      <c r="B14" s="183"/>
      <c r="C14" s="184"/>
      <c r="D14" s="184"/>
      <c r="E14" s="184"/>
      <c r="F14" s="184"/>
      <c r="G14" s="185"/>
    </row>
    <row r="15" spans="2:7" x14ac:dyDescent="0.25">
      <c r="B15" s="183"/>
      <c r="C15" s="184"/>
      <c r="D15" s="184"/>
      <c r="E15" s="184"/>
      <c r="F15" s="184"/>
      <c r="G15" s="185"/>
    </row>
    <row r="16" spans="2:7" ht="13.75" customHeight="1" x14ac:dyDescent="0.25">
      <c r="B16" s="183"/>
      <c r="C16" s="184"/>
      <c r="D16" s="184"/>
      <c r="E16" s="184"/>
      <c r="F16" s="184"/>
      <c r="G16" s="185"/>
    </row>
    <row r="17" spans="2:7" ht="134.15" customHeight="1" thickBot="1" x14ac:dyDescent="0.3">
      <c r="B17" s="186"/>
      <c r="C17" s="187"/>
      <c r="D17" s="187"/>
      <c r="E17" s="187"/>
      <c r="F17" s="187"/>
      <c r="G17" s="188"/>
    </row>
  </sheetData>
  <mergeCells count="3">
    <mergeCell ref="B2:G2"/>
    <mergeCell ref="B4:G4"/>
    <mergeCell ref="B5:G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ACA8-6894-408C-B246-E6F914D652F3}">
  <sheetPr>
    <tabColor rgb="FF57A1DF"/>
  </sheetPr>
  <dimension ref="A1"/>
  <sheetViews>
    <sheetView workbookViewId="0">
      <selection activeCell="E49" sqref="E49"/>
    </sheetView>
  </sheetViews>
  <sheetFormatPr defaultRowHeight="12.5"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DD52-CE61-4AE7-9E21-F104CB5237E2}">
  <sheetPr>
    <tabColor rgb="FF57A1DF"/>
  </sheetPr>
  <dimension ref="A1:F184"/>
  <sheetViews>
    <sheetView topLeftCell="A110" workbookViewId="0">
      <selection activeCell="C108" sqref="C108"/>
    </sheetView>
  </sheetViews>
  <sheetFormatPr defaultRowHeight="12.5" x14ac:dyDescent="0.25"/>
  <cols>
    <col min="1" max="1" width="3.54296875" customWidth="1"/>
    <col min="2" max="2" width="104" customWidth="1"/>
    <col min="3" max="3" width="10.453125" customWidth="1"/>
    <col min="4" max="4" width="12" customWidth="1"/>
  </cols>
  <sheetData>
    <row r="1" spans="1:6" ht="19" x14ac:dyDescent="0.4">
      <c r="A1" s="22"/>
      <c r="B1" s="189" t="s">
        <v>5</v>
      </c>
      <c r="C1" s="189"/>
      <c r="D1" s="189"/>
      <c r="E1" s="189"/>
      <c r="F1" s="22"/>
    </row>
    <row r="2" spans="1:6" ht="19" x14ac:dyDescent="0.4">
      <c r="A2" s="22"/>
      <c r="B2" s="189"/>
      <c r="C2" s="189"/>
      <c r="D2" s="189"/>
      <c r="E2" s="189"/>
      <c r="F2" s="22"/>
    </row>
    <row r="3" spans="1:6" ht="19" x14ac:dyDescent="0.4">
      <c r="A3" s="22"/>
      <c r="B3" s="14" t="s">
        <v>6</v>
      </c>
      <c r="C3" s="14"/>
      <c r="D3" s="14"/>
      <c r="E3" s="22"/>
      <c r="F3" s="22"/>
    </row>
    <row r="4" spans="1:6" ht="14.5" thickBot="1" x14ac:dyDescent="0.35">
      <c r="A4" s="11"/>
      <c r="B4" s="11"/>
      <c r="C4" s="11"/>
      <c r="D4" s="11"/>
      <c r="E4" s="11"/>
      <c r="F4" s="11"/>
    </row>
    <row r="5" spans="1:6" ht="16" thickTop="1" x14ac:dyDescent="0.25">
      <c r="A5" s="20"/>
      <c r="B5" s="190" t="s">
        <v>7</v>
      </c>
      <c r="C5" s="193" t="s">
        <v>8</v>
      </c>
      <c r="D5" s="33"/>
      <c r="E5" s="20"/>
      <c r="F5" s="20"/>
    </row>
    <row r="6" spans="1:6" ht="31" x14ac:dyDescent="0.25">
      <c r="A6" s="20"/>
      <c r="B6" s="191"/>
      <c r="C6" s="194"/>
      <c r="D6" s="4" t="s">
        <v>9</v>
      </c>
      <c r="E6" s="20"/>
      <c r="F6" s="20"/>
    </row>
    <row r="7" spans="1:6" ht="16" thickBot="1" x14ac:dyDescent="0.3">
      <c r="A7" s="20"/>
      <c r="B7" s="192"/>
      <c r="C7" s="195"/>
      <c r="D7" s="28"/>
      <c r="E7" s="20"/>
      <c r="F7" s="20"/>
    </row>
    <row r="8" spans="1:6" ht="16.5" thickTop="1" thickBot="1" x14ac:dyDescent="0.3">
      <c r="A8" s="20"/>
      <c r="B8" s="23"/>
      <c r="C8" s="19"/>
      <c r="D8" s="23"/>
      <c r="E8" s="20"/>
      <c r="F8" s="20"/>
    </row>
    <row r="9" spans="1:6" ht="16.5" customHeight="1" thickTop="1" thickBot="1" x14ac:dyDescent="0.3">
      <c r="A9" s="20"/>
      <c r="B9" s="15" t="s">
        <v>10</v>
      </c>
      <c r="C9" s="6"/>
      <c r="D9" s="6"/>
      <c r="E9" s="20"/>
      <c r="F9" s="20"/>
    </row>
    <row r="10" spans="1:6" ht="16.5" customHeight="1" thickTop="1" x14ac:dyDescent="0.25">
      <c r="A10" s="20"/>
      <c r="B10" s="16" t="s">
        <v>11</v>
      </c>
      <c r="C10" s="24" t="s">
        <v>12</v>
      </c>
      <c r="D10" s="34" t="s">
        <v>13</v>
      </c>
      <c r="E10" s="20"/>
      <c r="F10" s="20"/>
    </row>
    <row r="11" spans="1:6" ht="16.5" customHeight="1" x14ac:dyDescent="0.25">
      <c r="A11" s="20"/>
      <c r="B11" s="17" t="s">
        <v>14</v>
      </c>
      <c r="C11" s="25" t="s">
        <v>15</v>
      </c>
      <c r="D11" s="35" t="s">
        <v>13</v>
      </c>
      <c r="E11" s="20"/>
      <c r="F11" s="20"/>
    </row>
    <row r="12" spans="1:6" ht="16.5" customHeight="1" x14ac:dyDescent="0.25">
      <c r="A12" s="20"/>
      <c r="B12" s="17" t="s">
        <v>16</v>
      </c>
      <c r="C12" s="25" t="s">
        <v>17</v>
      </c>
      <c r="D12" s="34" t="s">
        <v>13</v>
      </c>
      <c r="E12" s="20"/>
      <c r="F12" s="20"/>
    </row>
    <row r="13" spans="1:6" ht="16.5" customHeight="1" x14ac:dyDescent="0.25">
      <c r="A13" s="20"/>
      <c r="B13" s="17" t="s">
        <v>18</v>
      </c>
      <c r="C13" s="25" t="s">
        <v>19</v>
      </c>
      <c r="D13" s="35" t="s">
        <v>13</v>
      </c>
      <c r="E13" s="20"/>
      <c r="F13" s="20"/>
    </row>
    <row r="14" spans="1:6" ht="16.5" customHeight="1" x14ac:dyDescent="0.25">
      <c r="A14" s="20"/>
      <c r="B14" s="17" t="s">
        <v>20</v>
      </c>
      <c r="C14" s="25" t="s">
        <v>21</v>
      </c>
      <c r="D14" s="34" t="s">
        <v>13</v>
      </c>
      <c r="E14" s="20"/>
      <c r="F14" s="20"/>
    </row>
    <row r="15" spans="1:6" ht="16.5" customHeight="1" x14ac:dyDescent="0.25">
      <c r="A15" s="20"/>
      <c r="B15" s="17" t="s">
        <v>22</v>
      </c>
      <c r="C15" s="25" t="s">
        <v>23</v>
      </c>
      <c r="D15" s="35" t="s">
        <v>13</v>
      </c>
      <c r="E15" s="20"/>
      <c r="F15" s="20"/>
    </row>
    <row r="16" spans="1:6" ht="16.5" customHeight="1" x14ac:dyDescent="0.25">
      <c r="A16" s="10"/>
      <c r="B16" s="50"/>
      <c r="C16" s="51"/>
      <c r="D16" s="52"/>
      <c r="E16" s="10"/>
      <c r="F16" s="10"/>
    </row>
    <row r="17" spans="1:6" ht="16.5" customHeight="1" x14ac:dyDescent="0.25">
      <c r="A17" s="20"/>
      <c r="B17" s="17" t="s">
        <v>24</v>
      </c>
      <c r="C17" s="25" t="s">
        <v>25</v>
      </c>
      <c r="D17" s="35" t="s">
        <v>26</v>
      </c>
      <c r="E17" s="20"/>
      <c r="F17" s="20"/>
    </row>
    <row r="18" spans="1:6" ht="16.5" customHeight="1" x14ac:dyDescent="0.25">
      <c r="A18" s="20"/>
      <c r="B18" s="17" t="s">
        <v>27</v>
      </c>
      <c r="C18" s="25" t="s">
        <v>28</v>
      </c>
      <c r="D18" s="35" t="s">
        <v>26</v>
      </c>
      <c r="E18" s="20"/>
      <c r="F18" s="20"/>
    </row>
    <row r="19" spans="1:6" ht="16.5" customHeight="1" x14ac:dyDescent="0.25">
      <c r="A19" s="20"/>
      <c r="B19" s="17" t="s">
        <v>29</v>
      </c>
      <c r="C19" s="25" t="s">
        <v>30</v>
      </c>
      <c r="D19" s="35" t="s">
        <v>26</v>
      </c>
      <c r="E19" s="20"/>
      <c r="F19" s="20"/>
    </row>
    <row r="20" spans="1:6" ht="16.5" customHeight="1" x14ac:dyDescent="0.25">
      <c r="A20" s="20"/>
      <c r="B20" s="17" t="s">
        <v>31</v>
      </c>
      <c r="C20" s="25" t="s">
        <v>32</v>
      </c>
      <c r="D20" s="35" t="s">
        <v>26</v>
      </c>
      <c r="E20" s="20"/>
      <c r="F20" s="20"/>
    </row>
    <row r="21" spans="1:6" ht="16.5" customHeight="1" x14ac:dyDescent="0.25">
      <c r="A21" s="20"/>
      <c r="B21" s="17" t="s">
        <v>33</v>
      </c>
      <c r="C21" s="25" t="s">
        <v>34</v>
      </c>
      <c r="D21" s="35" t="s">
        <v>26</v>
      </c>
      <c r="E21" s="20"/>
      <c r="F21" s="20"/>
    </row>
    <row r="22" spans="1:6" ht="16.5" customHeight="1" x14ac:dyDescent="0.25">
      <c r="A22" s="20"/>
      <c r="B22" s="17" t="s">
        <v>35</v>
      </c>
      <c r="C22" s="25" t="s">
        <v>36</v>
      </c>
      <c r="D22" s="35" t="s">
        <v>26</v>
      </c>
      <c r="E22" s="20"/>
      <c r="F22" s="20"/>
    </row>
    <row r="23" spans="1:6" ht="16.5" customHeight="1" x14ac:dyDescent="0.25">
      <c r="A23" s="10"/>
      <c r="B23" s="50"/>
      <c r="C23" s="51"/>
      <c r="D23" s="52"/>
      <c r="E23" s="10"/>
      <c r="F23" s="10"/>
    </row>
    <row r="24" spans="1:6" ht="16.5" customHeight="1" x14ac:dyDescent="0.25">
      <c r="A24" s="20"/>
      <c r="B24" s="17" t="s">
        <v>37</v>
      </c>
      <c r="C24" s="25" t="s">
        <v>38</v>
      </c>
      <c r="D24" s="35" t="s">
        <v>39</v>
      </c>
      <c r="E24" s="20"/>
      <c r="F24" s="20"/>
    </row>
    <row r="25" spans="1:6" ht="16.5" customHeight="1" x14ac:dyDescent="0.25">
      <c r="A25" s="20"/>
      <c r="B25" s="17" t="s">
        <v>40</v>
      </c>
      <c r="C25" s="25" t="s">
        <v>41</v>
      </c>
      <c r="D25" s="35" t="s">
        <v>39</v>
      </c>
      <c r="E25" s="20"/>
      <c r="F25" s="20"/>
    </row>
    <row r="26" spans="1:6" ht="16.5" customHeight="1" x14ac:dyDescent="0.25">
      <c r="A26" s="20"/>
      <c r="B26" s="17" t="s">
        <v>42</v>
      </c>
      <c r="C26" s="25" t="s">
        <v>43</v>
      </c>
      <c r="D26" s="35" t="s">
        <v>39</v>
      </c>
      <c r="E26" s="20"/>
      <c r="F26" s="20"/>
    </row>
    <row r="27" spans="1:6" ht="16.5" customHeight="1" x14ac:dyDescent="0.25">
      <c r="A27" s="10"/>
      <c r="B27" s="50"/>
      <c r="C27" s="51"/>
      <c r="D27" s="52"/>
      <c r="E27" s="10"/>
      <c r="F27" s="10"/>
    </row>
    <row r="28" spans="1:6" ht="16.5" customHeight="1" x14ac:dyDescent="0.25">
      <c r="A28" s="20"/>
      <c r="B28" s="17" t="s">
        <v>44</v>
      </c>
      <c r="C28" s="25" t="s">
        <v>45</v>
      </c>
      <c r="D28" s="35" t="s">
        <v>46</v>
      </c>
      <c r="E28" s="20"/>
      <c r="F28" s="20"/>
    </row>
    <row r="29" spans="1:6" ht="16.5" customHeight="1" x14ac:dyDescent="0.25">
      <c r="A29" s="20"/>
      <c r="B29" s="17" t="s">
        <v>47</v>
      </c>
      <c r="C29" s="25" t="s">
        <v>48</v>
      </c>
      <c r="D29" s="35" t="s">
        <v>46</v>
      </c>
      <c r="E29" s="20"/>
      <c r="F29" s="20"/>
    </row>
    <row r="30" spans="1:6" ht="16.5" customHeight="1" x14ac:dyDescent="0.25">
      <c r="A30" s="20"/>
      <c r="B30" s="17" t="s">
        <v>49</v>
      </c>
      <c r="C30" s="25" t="s">
        <v>50</v>
      </c>
      <c r="D30" s="35" t="s">
        <v>46</v>
      </c>
      <c r="E30" s="20"/>
      <c r="F30" s="20"/>
    </row>
    <row r="31" spans="1:6" ht="16.5" customHeight="1" x14ac:dyDescent="0.25">
      <c r="A31" s="10"/>
      <c r="B31" s="50"/>
      <c r="C31" s="51"/>
      <c r="D31" s="52"/>
      <c r="E31" s="10"/>
      <c r="F31" s="10"/>
    </row>
    <row r="32" spans="1:6" ht="16.5" customHeight="1" x14ac:dyDescent="0.25">
      <c r="A32" s="20"/>
      <c r="B32" s="17" t="s">
        <v>51</v>
      </c>
      <c r="C32" s="25" t="s">
        <v>52</v>
      </c>
      <c r="D32" s="35" t="s">
        <v>53</v>
      </c>
      <c r="E32" s="20"/>
      <c r="F32" s="20"/>
    </row>
    <row r="33" spans="1:6" ht="16.5" customHeight="1" x14ac:dyDescent="0.25">
      <c r="A33" s="20"/>
      <c r="B33" s="17" t="s">
        <v>54</v>
      </c>
      <c r="C33" s="25" t="s">
        <v>55</v>
      </c>
      <c r="D33" s="35" t="s">
        <v>53</v>
      </c>
      <c r="E33" s="20"/>
      <c r="F33" s="20"/>
    </row>
    <row r="34" spans="1:6" ht="16.5" customHeight="1" x14ac:dyDescent="0.25">
      <c r="A34" s="20"/>
      <c r="B34" s="17" t="s">
        <v>56</v>
      </c>
      <c r="C34" s="25" t="s">
        <v>57</v>
      </c>
      <c r="D34" s="35" t="s">
        <v>53</v>
      </c>
      <c r="E34" s="20"/>
      <c r="F34" s="20"/>
    </row>
    <row r="35" spans="1:6" ht="16.5" customHeight="1" x14ac:dyDescent="0.25">
      <c r="A35" s="10"/>
      <c r="B35" s="50"/>
      <c r="C35" s="51"/>
      <c r="D35" s="52"/>
      <c r="E35" s="10"/>
      <c r="F35" s="10"/>
    </row>
    <row r="36" spans="1:6" ht="16.5" customHeight="1" x14ac:dyDescent="0.25">
      <c r="A36" s="20"/>
      <c r="B36" s="17" t="s">
        <v>58</v>
      </c>
      <c r="C36" s="25" t="s">
        <v>59</v>
      </c>
      <c r="D36" s="35" t="s">
        <v>60</v>
      </c>
      <c r="E36" s="20"/>
      <c r="F36" s="20"/>
    </row>
    <row r="37" spans="1:6" ht="16.5" customHeight="1" x14ac:dyDescent="0.25">
      <c r="A37" s="20"/>
      <c r="B37" s="17" t="s">
        <v>61</v>
      </c>
      <c r="C37" s="25" t="s">
        <v>62</v>
      </c>
      <c r="D37" s="35" t="s">
        <v>60</v>
      </c>
      <c r="E37" s="20"/>
      <c r="F37" s="20"/>
    </row>
    <row r="38" spans="1:6" ht="16.5" customHeight="1" x14ac:dyDescent="0.25">
      <c r="A38" s="20"/>
      <c r="B38" s="17" t="s">
        <v>63</v>
      </c>
      <c r="C38" s="25" t="s">
        <v>64</v>
      </c>
      <c r="D38" s="35" t="s">
        <v>60</v>
      </c>
      <c r="E38" s="20"/>
      <c r="F38" s="20"/>
    </row>
    <row r="39" spans="1:6" ht="16.5" customHeight="1" x14ac:dyDescent="0.25">
      <c r="A39" s="10"/>
      <c r="B39" s="50"/>
      <c r="C39" s="51"/>
      <c r="D39" s="52"/>
      <c r="E39" s="10"/>
      <c r="F39" s="10"/>
    </row>
    <row r="40" spans="1:6" ht="16.5" customHeight="1" x14ac:dyDescent="0.25">
      <c r="A40" s="20"/>
      <c r="B40" s="17" t="s">
        <v>65</v>
      </c>
      <c r="C40" s="25" t="s">
        <v>66</v>
      </c>
      <c r="D40" s="35" t="s">
        <v>67</v>
      </c>
      <c r="E40" s="20"/>
      <c r="F40" s="20"/>
    </row>
    <row r="41" spans="1:6" ht="16.5" customHeight="1" x14ac:dyDescent="0.25">
      <c r="A41" s="20"/>
      <c r="B41" s="17" t="s">
        <v>68</v>
      </c>
      <c r="C41" s="25" t="s">
        <v>69</v>
      </c>
      <c r="D41" s="35" t="s">
        <v>67</v>
      </c>
      <c r="E41" s="20"/>
      <c r="F41" s="20"/>
    </row>
    <row r="42" spans="1:6" ht="16.5" customHeight="1" x14ac:dyDescent="0.25">
      <c r="A42" s="20"/>
      <c r="B42" s="17" t="s">
        <v>70</v>
      </c>
      <c r="C42" s="25" t="s">
        <v>71</v>
      </c>
      <c r="D42" s="35" t="s">
        <v>67</v>
      </c>
      <c r="E42" s="20"/>
      <c r="F42" s="20"/>
    </row>
    <row r="43" spans="1:6" ht="16.5" customHeight="1" x14ac:dyDescent="0.25">
      <c r="A43" s="10"/>
      <c r="B43" s="50"/>
      <c r="C43" s="51"/>
      <c r="D43" s="52"/>
      <c r="E43" s="10"/>
      <c r="F43" s="10"/>
    </row>
    <row r="44" spans="1:6" ht="17.5" customHeight="1" x14ac:dyDescent="0.25">
      <c r="A44" s="20"/>
      <c r="B44" s="17" t="s">
        <v>72</v>
      </c>
      <c r="C44" s="25" t="s">
        <v>73</v>
      </c>
      <c r="D44" s="35" t="s">
        <v>74</v>
      </c>
      <c r="E44" s="20"/>
      <c r="F44" s="20"/>
    </row>
    <row r="45" spans="1:6" ht="17.5" customHeight="1" x14ac:dyDescent="0.25">
      <c r="A45" s="20"/>
      <c r="B45" s="17" t="s">
        <v>75</v>
      </c>
      <c r="C45" s="25" t="s">
        <v>76</v>
      </c>
      <c r="D45" s="35" t="s">
        <v>74</v>
      </c>
      <c r="E45" s="20"/>
      <c r="F45" s="20"/>
    </row>
    <row r="46" spans="1:6" ht="17.5" customHeight="1" x14ac:dyDescent="0.25">
      <c r="A46" s="20"/>
      <c r="B46" s="17" t="s">
        <v>77</v>
      </c>
      <c r="C46" s="25" t="s">
        <v>78</v>
      </c>
      <c r="D46" s="35" t="s">
        <v>74</v>
      </c>
      <c r="E46" s="20"/>
      <c r="F46" s="20"/>
    </row>
    <row r="47" spans="1:6" ht="24" customHeight="1" x14ac:dyDescent="0.25">
      <c r="A47" s="20"/>
      <c r="B47" s="17" t="s">
        <v>79</v>
      </c>
      <c r="C47" s="25" t="s">
        <v>80</v>
      </c>
      <c r="D47" s="35" t="s">
        <v>74</v>
      </c>
      <c r="E47" s="20"/>
      <c r="F47" s="20"/>
    </row>
    <row r="48" spans="1:6" ht="24" customHeight="1" x14ac:dyDescent="0.25">
      <c r="A48" s="20"/>
      <c r="B48" s="17" t="s">
        <v>81</v>
      </c>
      <c r="C48" s="25" t="s">
        <v>82</v>
      </c>
      <c r="D48" s="35" t="s">
        <v>74</v>
      </c>
      <c r="E48" s="20"/>
      <c r="F48" s="20"/>
    </row>
    <row r="49" spans="1:6" ht="24" customHeight="1" x14ac:dyDescent="0.25">
      <c r="A49" s="20"/>
      <c r="B49" s="17" t="s">
        <v>83</v>
      </c>
      <c r="C49" s="25" t="s">
        <v>84</v>
      </c>
      <c r="D49" s="35" t="s">
        <v>74</v>
      </c>
      <c r="E49" s="20"/>
      <c r="F49" s="20"/>
    </row>
    <row r="50" spans="1:6" ht="24" customHeight="1" x14ac:dyDescent="0.25">
      <c r="A50" s="20"/>
      <c r="B50" s="17" t="s">
        <v>85</v>
      </c>
      <c r="C50" s="25" t="s">
        <v>86</v>
      </c>
      <c r="D50" s="35" t="s">
        <v>74</v>
      </c>
      <c r="E50" s="20"/>
      <c r="F50" s="20"/>
    </row>
    <row r="51" spans="1:6" ht="24" customHeight="1" x14ac:dyDescent="0.25">
      <c r="A51" s="20"/>
      <c r="B51" s="17" t="s">
        <v>87</v>
      </c>
      <c r="C51" s="25" t="s">
        <v>88</v>
      </c>
      <c r="D51" s="35" t="s">
        <v>74</v>
      </c>
      <c r="E51" s="20"/>
      <c r="F51" s="20"/>
    </row>
    <row r="52" spans="1:6" ht="24" customHeight="1" x14ac:dyDescent="0.25">
      <c r="A52" s="20"/>
      <c r="B52" s="17" t="s">
        <v>89</v>
      </c>
      <c r="C52" s="25" t="s">
        <v>90</v>
      </c>
      <c r="D52" s="35" t="s">
        <v>74</v>
      </c>
      <c r="E52" s="20"/>
      <c r="F52" s="20"/>
    </row>
    <row r="53" spans="1:6" ht="16.5" customHeight="1" x14ac:dyDescent="0.25">
      <c r="A53" s="20"/>
      <c r="B53" s="17" t="s">
        <v>91</v>
      </c>
      <c r="C53" s="25" t="s">
        <v>92</v>
      </c>
      <c r="D53" s="35" t="s">
        <v>74</v>
      </c>
      <c r="E53" s="20"/>
      <c r="F53" s="20"/>
    </row>
    <row r="54" spans="1:6" ht="16.5" customHeight="1" x14ac:dyDescent="0.25">
      <c r="A54" s="20"/>
      <c r="B54" s="17" t="s">
        <v>93</v>
      </c>
      <c r="C54" s="25" t="s">
        <v>94</v>
      </c>
      <c r="D54" s="35" t="s">
        <v>74</v>
      </c>
      <c r="E54" s="20"/>
      <c r="F54" s="20"/>
    </row>
    <row r="55" spans="1:6" ht="16.5" customHeight="1" x14ac:dyDescent="0.25">
      <c r="A55" s="20"/>
      <c r="B55" s="17" t="s">
        <v>95</v>
      </c>
      <c r="C55" s="25" t="s">
        <v>96</v>
      </c>
      <c r="D55" s="35" t="s">
        <v>74</v>
      </c>
      <c r="E55" s="20"/>
      <c r="F55" s="20"/>
    </row>
    <row r="56" spans="1:6" ht="16.5" customHeight="1" thickBot="1" x14ac:dyDescent="0.3">
      <c r="A56" s="20"/>
      <c r="B56" s="18" t="s">
        <v>97</v>
      </c>
      <c r="C56" s="26" t="s">
        <v>98</v>
      </c>
      <c r="D56" s="2"/>
      <c r="E56" s="13"/>
      <c r="F56" s="13"/>
    </row>
    <row r="57" spans="1:6" ht="16.5" customHeight="1" thickTop="1" thickBot="1" x14ac:dyDescent="0.4">
      <c r="A57" s="20"/>
      <c r="B57" s="27"/>
      <c r="C57" s="12"/>
      <c r="D57" s="27"/>
      <c r="E57" s="13"/>
      <c r="F57" s="13"/>
    </row>
    <row r="58" spans="1:6" ht="16.5" customHeight="1" thickTop="1" thickBot="1" x14ac:dyDescent="0.3">
      <c r="A58" s="20"/>
      <c r="B58" s="15" t="s">
        <v>99</v>
      </c>
      <c r="C58" s="6"/>
      <c r="D58" s="6"/>
      <c r="E58" s="13"/>
      <c r="F58" s="13"/>
    </row>
    <row r="59" spans="1:6" ht="36" customHeight="1" thickTop="1" x14ac:dyDescent="0.25">
      <c r="A59" s="20"/>
      <c r="B59" s="17" t="s">
        <v>100</v>
      </c>
      <c r="C59" s="25" t="s">
        <v>101</v>
      </c>
      <c r="D59" s="35" t="s">
        <v>102</v>
      </c>
      <c r="E59" s="20"/>
      <c r="F59" s="20"/>
    </row>
    <row r="60" spans="1:6" ht="36" customHeight="1" x14ac:dyDescent="0.25">
      <c r="A60" s="20"/>
      <c r="B60" s="17" t="s">
        <v>103</v>
      </c>
      <c r="C60" s="25" t="s">
        <v>104</v>
      </c>
      <c r="D60" s="35" t="s">
        <v>102</v>
      </c>
      <c r="E60" s="20"/>
      <c r="F60" s="20"/>
    </row>
    <row r="61" spans="1:6" ht="36" customHeight="1" x14ac:dyDescent="0.25">
      <c r="A61" s="20"/>
      <c r="B61" s="17" t="s">
        <v>105</v>
      </c>
      <c r="C61" s="25" t="s">
        <v>106</v>
      </c>
      <c r="D61" s="35" t="s">
        <v>102</v>
      </c>
      <c r="E61" s="20"/>
      <c r="F61" s="20"/>
    </row>
    <row r="62" spans="1:6" ht="17.25" customHeight="1" x14ac:dyDescent="0.25">
      <c r="A62" s="10"/>
      <c r="B62" s="50"/>
      <c r="C62" s="51"/>
      <c r="D62" s="52"/>
      <c r="E62" s="10"/>
      <c r="F62" s="10"/>
    </row>
    <row r="63" spans="1:6" ht="16.5" customHeight="1" x14ac:dyDescent="0.25">
      <c r="A63" s="20"/>
      <c r="B63" s="17" t="s">
        <v>107</v>
      </c>
      <c r="C63" s="25" t="s">
        <v>108</v>
      </c>
      <c r="D63" s="35" t="s">
        <v>109</v>
      </c>
      <c r="E63" s="20"/>
      <c r="F63" s="20"/>
    </row>
    <row r="64" spans="1:6" ht="16.5" customHeight="1" x14ac:dyDescent="0.25">
      <c r="A64" s="20"/>
      <c r="B64" s="17" t="s">
        <v>110</v>
      </c>
      <c r="C64" s="25" t="s">
        <v>111</v>
      </c>
      <c r="D64" s="35" t="s">
        <v>109</v>
      </c>
      <c r="E64" s="20"/>
      <c r="F64" s="20"/>
    </row>
    <row r="65" spans="1:6" ht="16.5" customHeight="1" x14ac:dyDescent="0.25">
      <c r="A65" s="20"/>
      <c r="B65" s="17" t="s">
        <v>112</v>
      </c>
      <c r="C65" s="25" t="s">
        <v>113</v>
      </c>
      <c r="D65" s="35" t="s">
        <v>109</v>
      </c>
      <c r="E65" s="20"/>
      <c r="F65" s="20"/>
    </row>
    <row r="66" spans="1:6" ht="16.5" customHeight="1" thickBot="1" x14ac:dyDescent="0.3">
      <c r="A66" s="10"/>
      <c r="B66" s="50"/>
      <c r="C66" s="51"/>
      <c r="D66" s="53"/>
      <c r="E66" s="10"/>
      <c r="F66" s="10"/>
    </row>
    <row r="67" spans="1:6" ht="16.5" customHeight="1" thickTop="1" x14ac:dyDescent="0.25">
      <c r="A67" s="20"/>
      <c r="B67" s="16" t="s">
        <v>114</v>
      </c>
      <c r="C67" s="24" t="s">
        <v>115</v>
      </c>
      <c r="D67" s="34" t="s">
        <v>116</v>
      </c>
      <c r="E67" s="20"/>
      <c r="F67" s="20"/>
    </row>
    <row r="68" spans="1:6" ht="16.5" customHeight="1" x14ac:dyDescent="0.25">
      <c r="A68" s="20"/>
      <c r="B68" s="17" t="s">
        <v>117</v>
      </c>
      <c r="C68" s="25" t="s">
        <v>118</v>
      </c>
      <c r="D68" s="35" t="s">
        <v>116</v>
      </c>
      <c r="E68" s="20"/>
      <c r="F68" s="20"/>
    </row>
    <row r="69" spans="1:6" ht="16.5" customHeight="1" x14ac:dyDescent="0.25">
      <c r="A69" s="20"/>
      <c r="B69" s="17" t="s">
        <v>119</v>
      </c>
      <c r="C69" s="25" t="s">
        <v>120</v>
      </c>
      <c r="D69" s="34" t="s">
        <v>116</v>
      </c>
      <c r="E69" s="20"/>
      <c r="F69" s="20"/>
    </row>
    <row r="70" spans="1:6" ht="16.5" customHeight="1" x14ac:dyDescent="0.25">
      <c r="A70" s="20"/>
      <c r="B70" s="17" t="s">
        <v>121</v>
      </c>
      <c r="C70" s="25" t="s">
        <v>122</v>
      </c>
      <c r="D70" s="34" t="s">
        <v>116</v>
      </c>
      <c r="E70" s="20"/>
      <c r="F70" s="20"/>
    </row>
    <row r="71" spans="1:6" ht="16.5" customHeight="1" x14ac:dyDescent="0.25">
      <c r="A71" s="20"/>
      <c r="B71" s="17" t="s">
        <v>123</v>
      </c>
      <c r="C71" s="25" t="s">
        <v>124</v>
      </c>
      <c r="D71" s="34" t="s">
        <v>116</v>
      </c>
      <c r="E71" s="20"/>
      <c r="F71" s="20"/>
    </row>
    <row r="72" spans="1:6" ht="16.5" customHeight="1" x14ac:dyDescent="0.25">
      <c r="A72" s="20"/>
      <c r="B72" s="17" t="s">
        <v>125</v>
      </c>
      <c r="C72" s="25" t="s">
        <v>126</v>
      </c>
      <c r="D72" s="34" t="s">
        <v>116</v>
      </c>
      <c r="E72" s="20"/>
      <c r="F72" s="20"/>
    </row>
    <row r="73" spans="1:6" ht="34.5" customHeight="1" x14ac:dyDescent="0.25">
      <c r="A73" s="20"/>
      <c r="B73" s="17" t="s">
        <v>127</v>
      </c>
      <c r="C73" s="25" t="s">
        <v>128</v>
      </c>
      <c r="D73" s="34" t="s">
        <v>116</v>
      </c>
      <c r="E73" s="20"/>
      <c r="F73" s="20"/>
    </row>
    <row r="74" spans="1:6" ht="34.5" customHeight="1" x14ac:dyDescent="0.25">
      <c r="A74" s="20"/>
      <c r="B74" s="17" t="s">
        <v>129</v>
      </c>
      <c r="C74" s="25" t="s">
        <v>130</v>
      </c>
      <c r="D74" s="34" t="s">
        <v>116</v>
      </c>
      <c r="E74" s="20"/>
      <c r="F74" s="20"/>
    </row>
    <row r="75" spans="1:6" ht="34.5" customHeight="1" x14ac:dyDescent="0.25">
      <c r="A75" s="20"/>
      <c r="B75" s="17" t="s">
        <v>131</v>
      </c>
      <c r="C75" s="25" t="s">
        <v>132</v>
      </c>
      <c r="D75" s="34" t="s">
        <v>116</v>
      </c>
      <c r="E75" s="20"/>
      <c r="F75" s="20"/>
    </row>
    <row r="76" spans="1:6" ht="16.5" customHeight="1" x14ac:dyDescent="0.25">
      <c r="A76" s="20"/>
      <c r="B76" s="17" t="s">
        <v>133</v>
      </c>
      <c r="C76" s="25" t="s">
        <v>134</v>
      </c>
      <c r="D76" s="34" t="s">
        <v>116</v>
      </c>
      <c r="E76" s="20"/>
      <c r="F76" s="20"/>
    </row>
    <row r="77" spans="1:6" ht="16.5" customHeight="1" x14ac:dyDescent="0.25">
      <c r="A77" s="20"/>
      <c r="B77" s="17" t="s">
        <v>135</v>
      </c>
      <c r="C77" s="25" t="s">
        <v>136</v>
      </c>
      <c r="D77" s="34" t="s">
        <v>116</v>
      </c>
      <c r="E77" s="20"/>
      <c r="F77" s="20"/>
    </row>
    <row r="78" spans="1:6" ht="16.5" customHeight="1" x14ac:dyDescent="0.25">
      <c r="A78" s="20"/>
      <c r="B78" s="17" t="s">
        <v>137</v>
      </c>
      <c r="C78" s="25" t="s">
        <v>138</v>
      </c>
      <c r="D78" s="34" t="s">
        <v>116</v>
      </c>
      <c r="E78" s="20"/>
      <c r="F78" s="20"/>
    </row>
    <row r="79" spans="1:6" ht="16.5" customHeight="1" thickBot="1" x14ac:dyDescent="0.3">
      <c r="A79" s="20"/>
      <c r="B79" s="18" t="s">
        <v>139</v>
      </c>
      <c r="C79" s="26" t="s">
        <v>140</v>
      </c>
      <c r="D79" s="2"/>
      <c r="E79" s="13"/>
      <c r="F79" s="13"/>
    </row>
    <row r="80" spans="1:6" ht="16.5" customHeight="1" thickTop="1" thickBot="1" x14ac:dyDescent="0.4">
      <c r="A80" s="20"/>
      <c r="B80" s="27"/>
      <c r="C80" s="12"/>
      <c r="D80" s="27"/>
      <c r="E80" s="13"/>
      <c r="F80" s="13"/>
    </row>
    <row r="81" spans="1:6" ht="16.5" customHeight="1" thickTop="1" thickBot="1" x14ac:dyDescent="0.3">
      <c r="A81" s="20"/>
      <c r="B81" s="15" t="s">
        <v>141</v>
      </c>
      <c r="C81" s="6"/>
      <c r="D81" s="6"/>
      <c r="E81" s="13"/>
      <c r="F81" s="13"/>
    </row>
    <row r="82" spans="1:6" ht="16.5" customHeight="1" thickTop="1" x14ac:dyDescent="0.25">
      <c r="A82" s="20"/>
      <c r="B82" s="16" t="s">
        <v>142</v>
      </c>
      <c r="C82" s="24" t="s">
        <v>143</v>
      </c>
      <c r="D82" s="34" t="s">
        <v>144</v>
      </c>
      <c r="E82" s="20"/>
      <c r="F82" s="20"/>
    </row>
    <row r="83" spans="1:6" ht="16.5" customHeight="1" x14ac:dyDescent="0.25">
      <c r="A83" s="20"/>
      <c r="B83" s="17" t="s">
        <v>145</v>
      </c>
      <c r="C83" s="25" t="s">
        <v>146</v>
      </c>
      <c r="D83" s="34" t="s">
        <v>144</v>
      </c>
      <c r="E83" s="20"/>
      <c r="F83" s="20"/>
    </row>
    <row r="84" spans="1:6" ht="16.5" customHeight="1" x14ac:dyDescent="0.25">
      <c r="A84" s="20"/>
      <c r="B84" s="17" t="s">
        <v>147</v>
      </c>
      <c r="C84" s="25" t="s">
        <v>148</v>
      </c>
      <c r="D84" s="34" t="s">
        <v>144</v>
      </c>
      <c r="E84" s="20"/>
      <c r="F84" s="20"/>
    </row>
    <row r="85" spans="1:6" ht="16.5" customHeight="1" x14ac:dyDescent="0.25">
      <c r="A85" s="20"/>
      <c r="B85" s="17" t="s">
        <v>149</v>
      </c>
      <c r="C85" s="25" t="s">
        <v>150</v>
      </c>
      <c r="D85" s="34" t="s">
        <v>144</v>
      </c>
      <c r="E85" s="20"/>
      <c r="F85" s="20"/>
    </row>
    <row r="86" spans="1:6" ht="16.5" customHeight="1" x14ac:dyDescent="0.25">
      <c r="A86" s="20"/>
      <c r="B86" s="17" t="s">
        <v>151</v>
      </c>
      <c r="C86" s="25" t="s">
        <v>152</v>
      </c>
      <c r="D86" s="34" t="s">
        <v>144</v>
      </c>
      <c r="E86" s="20"/>
      <c r="F86" s="20"/>
    </row>
    <row r="87" spans="1:6" ht="16.5" customHeight="1" x14ac:dyDescent="0.25">
      <c r="A87" s="20"/>
      <c r="B87" s="17" t="s">
        <v>153</v>
      </c>
      <c r="C87" s="25" t="s">
        <v>154</v>
      </c>
      <c r="D87" s="34" t="s">
        <v>144</v>
      </c>
      <c r="E87" s="20"/>
      <c r="F87" s="20"/>
    </row>
    <row r="88" spans="1:6" ht="16.5" customHeight="1" x14ac:dyDescent="0.25">
      <c r="A88" s="20"/>
      <c r="B88" s="17" t="s">
        <v>155</v>
      </c>
      <c r="C88" s="25" t="s">
        <v>156</v>
      </c>
      <c r="D88" s="34" t="s">
        <v>144</v>
      </c>
      <c r="E88" s="20"/>
      <c r="F88" s="20"/>
    </row>
    <row r="89" spans="1:6" ht="16.5" customHeight="1" x14ac:dyDescent="0.25">
      <c r="A89" s="20"/>
      <c r="B89" s="17" t="s">
        <v>157</v>
      </c>
      <c r="C89" s="25" t="s">
        <v>158</v>
      </c>
      <c r="D89" s="34" t="s">
        <v>144</v>
      </c>
      <c r="E89" s="20"/>
      <c r="F89" s="20"/>
    </row>
    <row r="90" spans="1:6" ht="16.5" customHeight="1" x14ac:dyDescent="0.25">
      <c r="A90" s="20"/>
      <c r="B90" s="17" t="s">
        <v>159</v>
      </c>
      <c r="C90" s="25" t="s">
        <v>160</v>
      </c>
      <c r="D90" s="34" t="s">
        <v>144</v>
      </c>
      <c r="E90" s="20"/>
      <c r="F90" s="20"/>
    </row>
    <row r="91" spans="1:6" ht="29.65" customHeight="1" x14ac:dyDescent="0.25">
      <c r="A91" s="20"/>
      <c r="B91" s="17" t="s">
        <v>161</v>
      </c>
      <c r="C91" s="25" t="s">
        <v>162</v>
      </c>
      <c r="D91" s="34" t="s">
        <v>144</v>
      </c>
      <c r="E91" s="20"/>
      <c r="F91" s="20"/>
    </row>
    <row r="92" spans="1:6" ht="29.65" customHeight="1" x14ac:dyDescent="0.25">
      <c r="A92" s="20"/>
      <c r="B92" s="17" t="s">
        <v>163</v>
      </c>
      <c r="C92" s="25" t="s">
        <v>164</v>
      </c>
      <c r="D92" s="34" t="s">
        <v>144</v>
      </c>
      <c r="E92" s="20"/>
      <c r="F92" s="20"/>
    </row>
    <row r="93" spans="1:6" ht="29.65" customHeight="1" x14ac:dyDescent="0.25">
      <c r="A93" s="20"/>
      <c r="B93" s="17" t="s">
        <v>165</v>
      </c>
      <c r="C93" s="25" t="s">
        <v>166</v>
      </c>
      <c r="D93" s="34" t="s">
        <v>144</v>
      </c>
      <c r="E93" s="20"/>
      <c r="F93" s="20"/>
    </row>
    <row r="94" spans="1:6" ht="29.65" customHeight="1" x14ac:dyDescent="0.25">
      <c r="A94" s="20"/>
      <c r="B94" s="17" t="s">
        <v>167</v>
      </c>
      <c r="C94" s="25" t="s">
        <v>168</v>
      </c>
      <c r="D94" s="34" t="s">
        <v>144</v>
      </c>
      <c r="E94" s="20"/>
      <c r="F94" s="20"/>
    </row>
    <row r="95" spans="1:6" ht="29.65" customHeight="1" x14ac:dyDescent="0.25">
      <c r="A95" s="20"/>
      <c r="B95" s="17" t="s">
        <v>169</v>
      </c>
      <c r="C95" s="25" t="s">
        <v>170</v>
      </c>
      <c r="D95" s="34" t="s">
        <v>144</v>
      </c>
      <c r="E95" s="20"/>
      <c r="F95" s="20"/>
    </row>
    <row r="96" spans="1:6" ht="29.65" customHeight="1" x14ac:dyDescent="0.25">
      <c r="A96" s="20"/>
      <c r="B96" s="17" t="s">
        <v>171</v>
      </c>
      <c r="C96" s="25" t="s">
        <v>172</v>
      </c>
      <c r="D96" s="34" t="s">
        <v>144</v>
      </c>
      <c r="E96" s="20"/>
      <c r="F96" s="20"/>
    </row>
    <row r="97" spans="1:6" ht="29.65" customHeight="1" x14ac:dyDescent="0.25">
      <c r="A97" s="20"/>
      <c r="B97" s="17" t="s">
        <v>173</v>
      </c>
      <c r="C97" s="25" t="s">
        <v>174</v>
      </c>
      <c r="D97" s="34" t="s">
        <v>144</v>
      </c>
      <c r="E97" s="20"/>
      <c r="F97" s="20"/>
    </row>
    <row r="98" spans="1:6" ht="29.65" customHeight="1" x14ac:dyDescent="0.25">
      <c r="A98" s="20"/>
      <c r="B98" s="17" t="s">
        <v>175</v>
      </c>
      <c r="C98" s="25" t="s">
        <v>176</v>
      </c>
      <c r="D98" s="34" t="s">
        <v>144</v>
      </c>
      <c r="E98" s="20"/>
      <c r="F98" s="20"/>
    </row>
    <row r="99" spans="1:6" ht="29.65" customHeight="1" x14ac:dyDescent="0.25">
      <c r="A99" s="20"/>
      <c r="B99" s="17" t="s">
        <v>177</v>
      </c>
      <c r="C99" s="25" t="s">
        <v>178</v>
      </c>
      <c r="D99" s="34" t="s">
        <v>144</v>
      </c>
      <c r="E99" s="20"/>
      <c r="F99" s="20"/>
    </row>
    <row r="100" spans="1:6" ht="29.65" customHeight="1" x14ac:dyDescent="0.25">
      <c r="A100" s="20"/>
      <c r="B100" s="17" t="s">
        <v>179</v>
      </c>
      <c r="C100" s="25" t="s">
        <v>180</v>
      </c>
      <c r="D100" s="34" t="s">
        <v>144</v>
      </c>
      <c r="E100" s="20"/>
      <c r="F100" s="20"/>
    </row>
    <row r="101" spans="1:6" ht="29.65" customHeight="1" x14ac:dyDescent="0.25">
      <c r="A101" s="20"/>
      <c r="B101" s="17" t="s">
        <v>181</v>
      </c>
      <c r="C101" s="25" t="s">
        <v>182</v>
      </c>
      <c r="D101" s="34" t="s">
        <v>144</v>
      </c>
      <c r="E101" s="20"/>
      <c r="F101" s="20"/>
    </row>
    <row r="102" spans="1:6" ht="29.65" customHeight="1" x14ac:dyDescent="0.25">
      <c r="A102" s="20"/>
      <c r="B102" s="17" t="s">
        <v>183</v>
      </c>
      <c r="C102" s="25" t="s">
        <v>184</v>
      </c>
      <c r="D102" s="34" t="s">
        <v>144</v>
      </c>
      <c r="E102" s="20"/>
      <c r="F102" s="20"/>
    </row>
    <row r="103" spans="1:6" ht="29.65" customHeight="1" x14ac:dyDescent="0.25">
      <c r="A103" s="20"/>
      <c r="B103" s="17" t="s">
        <v>185</v>
      </c>
      <c r="C103" s="25" t="s">
        <v>186</v>
      </c>
      <c r="D103" s="34" t="s">
        <v>144</v>
      </c>
      <c r="E103" s="20"/>
      <c r="F103" s="20"/>
    </row>
    <row r="104" spans="1:6" ht="29.65" customHeight="1" x14ac:dyDescent="0.25">
      <c r="A104" s="20"/>
      <c r="B104" s="17" t="s">
        <v>187</v>
      </c>
      <c r="C104" s="25" t="s">
        <v>188</v>
      </c>
      <c r="D104" s="34" t="s">
        <v>144</v>
      </c>
      <c r="E104" s="20"/>
      <c r="F104" s="20"/>
    </row>
    <row r="105" spans="1:6" ht="29.65" customHeight="1" x14ac:dyDescent="0.25">
      <c r="A105" s="20"/>
      <c r="B105" s="17" t="s">
        <v>189</v>
      </c>
      <c r="C105" s="25" t="s">
        <v>190</v>
      </c>
      <c r="D105" s="34" t="s">
        <v>144</v>
      </c>
      <c r="E105" s="20"/>
      <c r="F105" s="20"/>
    </row>
    <row r="106" spans="1:6" ht="29.65" customHeight="1" x14ac:dyDescent="0.25">
      <c r="A106" s="20"/>
      <c r="B106" s="17" t="s">
        <v>191</v>
      </c>
      <c r="C106" s="25" t="s">
        <v>192</v>
      </c>
      <c r="D106" s="34" t="s">
        <v>144</v>
      </c>
      <c r="E106" s="20"/>
      <c r="F106" s="20"/>
    </row>
    <row r="107" spans="1:6" ht="29.65" customHeight="1" x14ac:dyDescent="0.25">
      <c r="A107" s="20"/>
      <c r="B107" s="17" t="s">
        <v>193</v>
      </c>
      <c r="C107" s="25" t="s">
        <v>194</v>
      </c>
      <c r="D107" s="34" t="s">
        <v>144</v>
      </c>
      <c r="E107" s="20"/>
      <c r="F107" s="20"/>
    </row>
    <row r="108" spans="1:6" ht="29.65" customHeight="1" x14ac:dyDescent="0.25">
      <c r="A108" s="20"/>
      <c r="B108" s="17" t="s">
        <v>195</v>
      </c>
      <c r="C108" s="25" t="s">
        <v>196</v>
      </c>
      <c r="D108" s="34" t="s">
        <v>144</v>
      </c>
      <c r="E108" s="20"/>
      <c r="F108" s="20"/>
    </row>
    <row r="109" spans="1:6" ht="16.5" customHeight="1" x14ac:dyDescent="0.25">
      <c r="A109" s="20"/>
      <c r="B109" s="17" t="s">
        <v>197</v>
      </c>
      <c r="C109" s="25" t="s">
        <v>198</v>
      </c>
      <c r="D109" s="34" t="s">
        <v>144</v>
      </c>
      <c r="E109" s="20"/>
      <c r="F109" s="20"/>
    </row>
    <row r="110" spans="1:6" ht="16.5" customHeight="1" x14ac:dyDescent="0.25">
      <c r="A110" s="20"/>
      <c r="B110" s="17" t="s">
        <v>199</v>
      </c>
      <c r="C110" s="25" t="s">
        <v>200</v>
      </c>
      <c r="D110" s="34" t="s">
        <v>144</v>
      </c>
      <c r="E110" s="20"/>
      <c r="F110" s="20"/>
    </row>
    <row r="111" spans="1:6" ht="16.5" customHeight="1" x14ac:dyDescent="0.25">
      <c r="A111" s="20"/>
      <c r="B111" s="17" t="s">
        <v>201</v>
      </c>
      <c r="C111" s="25" t="s">
        <v>202</v>
      </c>
      <c r="D111" s="34" t="s">
        <v>144</v>
      </c>
      <c r="E111" s="20"/>
      <c r="F111" s="20"/>
    </row>
    <row r="112" spans="1:6" ht="16.5" customHeight="1" thickBot="1" x14ac:dyDescent="0.3">
      <c r="A112" s="20"/>
      <c r="B112" s="18" t="s">
        <v>203</v>
      </c>
      <c r="C112" s="26" t="s">
        <v>204</v>
      </c>
      <c r="D112" s="2"/>
      <c r="E112" s="13"/>
      <c r="F112" s="13"/>
    </row>
    <row r="113" spans="1:6" ht="16.5" customHeight="1" thickTop="1" thickBot="1" x14ac:dyDescent="0.4">
      <c r="A113" s="20"/>
      <c r="B113" s="27"/>
      <c r="C113" s="12"/>
      <c r="D113" s="27"/>
      <c r="E113" s="13"/>
      <c r="F113" s="13"/>
    </row>
    <row r="114" spans="1:6" ht="16.5" customHeight="1" thickTop="1" thickBot="1" x14ac:dyDescent="0.3">
      <c r="A114" s="20"/>
      <c r="B114" s="15" t="s">
        <v>205</v>
      </c>
      <c r="C114" s="6"/>
      <c r="D114" s="6"/>
      <c r="E114" s="13"/>
      <c r="F114" s="13"/>
    </row>
    <row r="115" spans="1:6" ht="16.5" customHeight="1" thickTop="1" x14ac:dyDescent="0.25">
      <c r="A115" s="20"/>
      <c r="B115" s="16" t="s">
        <v>206</v>
      </c>
      <c r="C115" s="24" t="s">
        <v>207</v>
      </c>
      <c r="D115" s="34" t="s">
        <v>208</v>
      </c>
      <c r="E115" s="20"/>
      <c r="F115" s="20"/>
    </row>
    <row r="116" spans="1:6" ht="16.5" customHeight="1" x14ac:dyDescent="0.25">
      <c r="A116" s="20"/>
      <c r="B116" s="17" t="s">
        <v>209</v>
      </c>
      <c r="C116" s="25" t="s">
        <v>210</v>
      </c>
      <c r="D116" s="34" t="s">
        <v>208</v>
      </c>
      <c r="E116" s="20"/>
      <c r="F116" s="20"/>
    </row>
    <row r="117" spans="1:6" ht="16.5" customHeight="1" x14ac:dyDescent="0.25">
      <c r="A117" s="20"/>
      <c r="B117" s="17" t="s">
        <v>211</v>
      </c>
      <c r="C117" s="25" t="s">
        <v>212</v>
      </c>
      <c r="D117" s="34" t="s">
        <v>208</v>
      </c>
      <c r="E117" s="20"/>
      <c r="F117" s="20"/>
    </row>
    <row r="118" spans="1:6" ht="16.5" customHeight="1" x14ac:dyDescent="0.25">
      <c r="A118" s="20"/>
      <c r="B118" s="17" t="s">
        <v>213</v>
      </c>
      <c r="C118" s="25" t="s">
        <v>214</v>
      </c>
      <c r="D118" s="34" t="s">
        <v>208</v>
      </c>
      <c r="E118" s="20"/>
      <c r="F118" s="20"/>
    </row>
    <row r="119" spans="1:6" ht="16.5" customHeight="1" x14ac:dyDescent="0.25">
      <c r="A119" s="20"/>
      <c r="B119" s="17" t="s">
        <v>215</v>
      </c>
      <c r="C119" s="25" t="s">
        <v>216</v>
      </c>
      <c r="D119" s="34" t="s">
        <v>208</v>
      </c>
      <c r="E119" s="20"/>
      <c r="F119" s="20"/>
    </row>
    <row r="120" spans="1:6" ht="16.5" customHeight="1" x14ac:dyDescent="0.25">
      <c r="A120" s="20"/>
      <c r="B120" s="17" t="s">
        <v>217</v>
      </c>
      <c r="C120" s="25" t="s">
        <v>218</v>
      </c>
      <c r="D120" s="34" t="s">
        <v>208</v>
      </c>
      <c r="E120" s="20"/>
      <c r="F120" s="20"/>
    </row>
    <row r="121" spans="1:6" ht="16.5" customHeight="1" x14ac:dyDescent="0.25">
      <c r="A121" s="10"/>
      <c r="B121" s="50"/>
      <c r="C121" s="51"/>
      <c r="D121" s="53"/>
      <c r="E121" s="10"/>
      <c r="F121" s="10"/>
    </row>
    <row r="122" spans="1:6" ht="16.5" customHeight="1" x14ac:dyDescent="0.25">
      <c r="A122" s="20"/>
      <c r="B122" s="17" t="s">
        <v>219</v>
      </c>
      <c r="C122" s="25" t="s">
        <v>220</v>
      </c>
      <c r="D122" s="35" t="s">
        <v>221</v>
      </c>
      <c r="E122" s="20"/>
      <c r="F122" s="20"/>
    </row>
    <row r="123" spans="1:6" ht="16.5" customHeight="1" x14ac:dyDescent="0.25">
      <c r="A123" s="20"/>
      <c r="B123" s="17" t="s">
        <v>222</v>
      </c>
      <c r="C123" s="25" t="s">
        <v>223</v>
      </c>
      <c r="D123" s="35" t="s">
        <v>221</v>
      </c>
      <c r="E123" s="20"/>
      <c r="F123" s="20"/>
    </row>
    <row r="124" spans="1:6" ht="16.5" customHeight="1" x14ac:dyDescent="0.25">
      <c r="A124" s="20"/>
      <c r="B124" s="17" t="s">
        <v>224</v>
      </c>
      <c r="C124" s="25" t="s">
        <v>225</v>
      </c>
      <c r="D124" s="35" t="s">
        <v>221</v>
      </c>
      <c r="E124" s="20"/>
      <c r="F124" s="20"/>
    </row>
    <row r="125" spans="1:6" ht="16.5" customHeight="1" x14ac:dyDescent="0.25">
      <c r="A125" s="20"/>
      <c r="B125" s="17" t="s">
        <v>226</v>
      </c>
      <c r="C125" s="25" t="s">
        <v>227</v>
      </c>
      <c r="D125" s="35" t="s">
        <v>221</v>
      </c>
      <c r="E125" s="20"/>
      <c r="F125" s="20"/>
    </row>
    <row r="126" spans="1:6" ht="16.5" customHeight="1" x14ac:dyDescent="0.25">
      <c r="A126" s="20"/>
      <c r="B126" s="17" t="s">
        <v>228</v>
      </c>
      <c r="C126" s="25" t="s">
        <v>229</v>
      </c>
      <c r="D126" s="35" t="s">
        <v>221</v>
      </c>
      <c r="E126" s="20"/>
      <c r="F126" s="20"/>
    </row>
    <row r="127" spans="1:6" ht="16.5" customHeight="1" x14ac:dyDescent="0.25">
      <c r="A127" s="20"/>
      <c r="B127" s="17" t="s">
        <v>230</v>
      </c>
      <c r="C127" s="25" t="s">
        <v>231</v>
      </c>
      <c r="D127" s="35" t="s">
        <v>221</v>
      </c>
      <c r="E127" s="20"/>
      <c r="F127" s="20"/>
    </row>
    <row r="128" spans="1:6" ht="16.5" customHeight="1" x14ac:dyDescent="0.25">
      <c r="A128" s="10"/>
      <c r="B128" s="50"/>
      <c r="C128" s="51"/>
      <c r="D128" s="52"/>
      <c r="E128" s="10"/>
      <c r="F128" s="10"/>
    </row>
    <row r="129" spans="1:6" ht="30" customHeight="1" x14ac:dyDescent="0.25">
      <c r="A129" s="20"/>
      <c r="B129" s="17" t="s">
        <v>232</v>
      </c>
      <c r="C129" s="25" t="s">
        <v>233</v>
      </c>
      <c r="D129" s="35" t="s">
        <v>234</v>
      </c>
      <c r="E129" s="20"/>
      <c r="F129" s="20"/>
    </row>
    <row r="130" spans="1:6" ht="16.5" customHeight="1" x14ac:dyDescent="0.25">
      <c r="A130" s="20"/>
      <c r="B130" s="17" t="s">
        <v>235</v>
      </c>
      <c r="C130" s="25" t="s">
        <v>236</v>
      </c>
      <c r="D130" s="35" t="s">
        <v>234</v>
      </c>
      <c r="E130" s="20"/>
      <c r="F130" s="20"/>
    </row>
    <row r="131" spans="1:6" ht="16.5" customHeight="1" x14ac:dyDescent="0.25">
      <c r="A131" s="20"/>
      <c r="B131" s="17" t="s">
        <v>237</v>
      </c>
      <c r="C131" s="25" t="s">
        <v>238</v>
      </c>
      <c r="D131" s="35" t="s">
        <v>234</v>
      </c>
      <c r="E131" s="20"/>
      <c r="F131" s="20"/>
    </row>
    <row r="132" spans="1:6" ht="16.5" customHeight="1" x14ac:dyDescent="0.25">
      <c r="A132" s="20"/>
      <c r="B132" s="17" t="s">
        <v>239</v>
      </c>
      <c r="C132" s="25" t="s">
        <v>240</v>
      </c>
      <c r="D132" s="35" t="s">
        <v>234</v>
      </c>
      <c r="E132" s="20"/>
      <c r="F132" s="20"/>
    </row>
    <row r="133" spans="1:6" ht="16.5" customHeight="1" x14ac:dyDescent="0.25">
      <c r="A133" s="20"/>
      <c r="B133" s="17" t="s">
        <v>241</v>
      </c>
      <c r="C133" s="25" t="s">
        <v>242</v>
      </c>
      <c r="D133" s="35" t="s">
        <v>234</v>
      </c>
      <c r="E133" s="20"/>
      <c r="F133" s="20"/>
    </row>
    <row r="134" spans="1:6" ht="16.5" customHeight="1" x14ac:dyDescent="0.25">
      <c r="A134" s="20"/>
      <c r="B134" s="17" t="s">
        <v>243</v>
      </c>
      <c r="C134" s="25" t="s">
        <v>244</v>
      </c>
      <c r="D134" s="35" t="s">
        <v>234</v>
      </c>
      <c r="E134" s="20"/>
      <c r="F134" s="20"/>
    </row>
    <row r="135" spans="1:6" ht="16.5" customHeight="1" x14ac:dyDescent="0.25">
      <c r="A135" s="20"/>
      <c r="B135" s="17" t="s">
        <v>245</v>
      </c>
      <c r="C135" s="25" t="s">
        <v>246</v>
      </c>
      <c r="D135" s="35" t="s">
        <v>234</v>
      </c>
      <c r="E135" s="20"/>
      <c r="F135" s="20"/>
    </row>
    <row r="136" spans="1:6" ht="16.5" customHeight="1" x14ac:dyDescent="0.25">
      <c r="A136" s="20"/>
      <c r="B136" s="17" t="s">
        <v>247</v>
      </c>
      <c r="C136" s="25" t="s">
        <v>248</v>
      </c>
      <c r="D136" s="35" t="s">
        <v>234</v>
      </c>
      <c r="E136" s="20"/>
      <c r="F136" s="20"/>
    </row>
    <row r="137" spans="1:6" ht="16.5" customHeight="1" x14ac:dyDescent="0.25">
      <c r="A137" s="20"/>
      <c r="B137" s="17" t="s">
        <v>249</v>
      </c>
      <c r="C137" s="25" t="s">
        <v>250</v>
      </c>
      <c r="D137" s="35" t="s">
        <v>234</v>
      </c>
      <c r="E137" s="20"/>
      <c r="F137" s="20"/>
    </row>
    <row r="138" spans="1:6" ht="16.5" customHeight="1" x14ac:dyDescent="0.25">
      <c r="A138" s="20"/>
      <c r="B138" s="17" t="s">
        <v>251</v>
      </c>
      <c r="C138" s="25" t="s">
        <v>252</v>
      </c>
      <c r="D138" s="35" t="s">
        <v>234</v>
      </c>
      <c r="E138" s="20"/>
      <c r="F138" s="20"/>
    </row>
    <row r="139" spans="1:6" ht="16.5" customHeight="1" x14ac:dyDescent="0.25">
      <c r="A139" s="20"/>
      <c r="B139" s="17" t="s">
        <v>253</v>
      </c>
      <c r="C139" s="25" t="s">
        <v>254</v>
      </c>
      <c r="D139" s="35" t="s">
        <v>234</v>
      </c>
      <c r="E139" s="20"/>
      <c r="F139" s="20"/>
    </row>
    <row r="140" spans="1:6" ht="16.5" customHeight="1" x14ac:dyDescent="0.25">
      <c r="A140" s="20"/>
      <c r="B140" s="17" t="s">
        <v>255</v>
      </c>
      <c r="C140" s="25" t="s">
        <v>256</v>
      </c>
      <c r="D140" s="35" t="s">
        <v>234</v>
      </c>
      <c r="E140" s="20"/>
      <c r="F140" s="20"/>
    </row>
    <row r="141" spans="1:6" ht="16.5" customHeight="1" x14ac:dyDescent="0.25">
      <c r="A141" s="20"/>
      <c r="B141" s="17" t="s">
        <v>257</v>
      </c>
      <c r="C141" s="25" t="s">
        <v>258</v>
      </c>
      <c r="D141" s="35" t="s">
        <v>234</v>
      </c>
      <c r="E141" s="20"/>
      <c r="F141" s="20"/>
    </row>
    <row r="142" spans="1:6" ht="16.5" customHeight="1" x14ac:dyDescent="0.25">
      <c r="A142" s="20"/>
      <c r="B142" s="17" t="s">
        <v>259</v>
      </c>
      <c r="C142" s="25" t="s">
        <v>260</v>
      </c>
      <c r="D142" s="35" t="s">
        <v>234</v>
      </c>
      <c r="E142" s="20"/>
      <c r="F142" s="20"/>
    </row>
    <row r="143" spans="1:6" ht="16.5" customHeight="1" thickBot="1" x14ac:dyDescent="0.3">
      <c r="A143" s="20"/>
      <c r="B143" s="18" t="s">
        <v>261</v>
      </c>
      <c r="C143" s="26" t="s">
        <v>262</v>
      </c>
      <c r="D143" s="35" t="s">
        <v>234</v>
      </c>
      <c r="E143" s="20"/>
      <c r="F143" s="20"/>
    </row>
    <row r="144" spans="1:6" ht="16.5" customHeight="1" thickTop="1" thickBot="1" x14ac:dyDescent="0.3">
      <c r="A144" s="20"/>
      <c r="B144" s="20"/>
      <c r="C144" s="20"/>
      <c r="D144" s="20"/>
      <c r="E144" s="13"/>
      <c r="F144" s="13"/>
    </row>
    <row r="145" spans="1:6" ht="16.5" customHeight="1" thickTop="1" thickBot="1" x14ac:dyDescent="0.3">
      <c r="A145" s="20"/>
      <c r="B145" s="15" t="s">
        <v>263</v>
      </c>
      <c r="C145" s="6"/>
      <c r="D145" s="6"/>
      <c r="E145" s="13"/>
      <c r="F145" s="13"/>
    </row>
    <row r="146" spans="1:6" ht="16.5" customHeight="1" thickTop="1" x14ac:dyDescent="0.25">
      <c r="A146" s="20"/>
      <c r="B146" s="16" t="s">
        <v>264</v>
      </c>
      <c r="C146" s="24" t="s">
        <v>265</v>
      </c>
      <c r="D146" s="34" t="s">
        <v>266</v>
      </c>
      <c r="E146" s="20"/>
      <c r="F146" s="20"/>
    </row>
    <row r="147" spans="1:6" ht="16.5" customHeight="1" x14ac:dyDescent="0.25">
      <c r="A147" s="20"/>
      <c r="B147" s="17" t="s">
        <v>267</v>
      </c>
      <c r="C147" s="25" t="s">
        <v>268</v>
      </c>
      <c r="D147" s="34" t="s">
        <v>266</v>
      </c>
      <c r="E147" s="20"/>
      <c r="F147" s="20"/>
    </row>
    <row r="148" spans="1:6" ht="16.5" customHeight="1" x14ac:dyDescent="0.25">
      <c r="A148" s="20"/>
      <c r="B148" s="17" t="s">
        <v>269</v>
      </c>
      <c r="C148" s="25" t="s">
        <v>270</v>
      </c>
      <c r="D148" s="34" t="s">
        <v>266</v>
      </c>
      <c r="E148" s="20"/>
      <c r="F148" s="20"/>
    </row>
    <row r="149" spans="1:6" ht="16.5" customHeight="1" x14ac:dyDescent="0.25">
      <c r="A149" s="10"/>
      <c r="B149" s="50"/>
      <c r="C149" s="51"/>
      <c r="D149" s="53"/>
      <c r="E149" s="10"/>
      <c r="F149" s="10"/>
    </row>
    <row r="150" spans="1:6" ht="16.5" customHeight="1" x14ac:dyDescent="0.25">
      <c r="A150" s="20"/>
      <c r="B150" s="17" t="s">
        <v>271</v>
      </c>
      <c r="C150" s="25" t="s">
        <v>272</v>
      </c>
      <c r="D150" s="35" t="s">
        <v>273</v>
      </c>
      <c r="E150" s="20"/>
      <c r="F150" s="20"/>
    </row>
    <row r="151" spans="1:6" ht="16.5" customHeight="1" x14ac:dyDescent="0.25">
      <c r="A151" s="20"/>
      <c r="B151" s="17" t="s">
        <v>274</v>
      </c>
      <c r="C151" s="25" t="s">
        <v>275</v>
      </c>
      <c r="D151" s="35" t="s">
        <v>273</v>
      </c>
      <c r="E151" s="20"/>
      <c r="F151" s="20"/>
    </row>
    <row r="152" spans="1:6" ht="16.5" customHeight="1" x14ac:dyDescent="0.25">
      <c r="A152" s="20"/>
      <c r="B152" s="17" t="s">
        <v>276</v>
      </c>
      <c r="C152" s="25" t="s">
        <v>277</v>
      </c>
      <c r="D152" s="35" t="s">
        <v>273</v>
      </c>
      <c r="E152" s="20"/>
      <c r="F152" s="20"/>
    </row>
    <row r="153" spans="1:6" ht="16.5" customHeight="1" x14ac:dyDescent="0.25">
      <c r="A153" s="20"/>
      <c r="B153" s="17" t="s">
        <v>278</v>
      </c>
      <c r="C153" s="25" t="s">
        <v>279</v>
      </c>
      <c r="D153" s="35" t="s">
        <v>273</v>
      </c>
      <c r="E153" s="20"/>
      <c r="F153" s="20"/>
    </row>
    <row r="154" spans="1:6" ht="16.5" customHeight="1" x14ac:dyDescent="0.25">
      <c r="A154" s="20"/>
      <c r="B154" s="17" t="s">
        <v>280</v>
      </c>
      <c r="C154" s="25" t="s">
        <v>281</v>
      </c>
      <c r="D154" s="35" t="s">
        <v>273</v>
      </c>
      <c r="E154" s="20"/>
      <c r="F154" s="20"/>
    </row>
    <row r="155" spans="1:6" ht="16.5" customHeight="1" thickBot="1" x14ac:dyDescent="0.3">
      <c r="A155" s="20"/>
      <c r="B155" s="18" t="s">
        <v>282</v>
      </c>
      <c r="C155" s="26" t="s">
        <v>283</v>
      </c>
      <c r="D155" s="35" t="s">
        <v>273</v>
      </c>
      <c r="E155" s="20"/>
      <c r="F155" s="20"/>
    </row>
    <row r="156" spans="1:6" ht="16.5" customHeight="1" thickTop="1" thickBot="1" x14ac:dyDescent="0.3">
      <c r="A156" s="20"/>
      <c r="B156" s="20"/>
      <c r="C156" s="20"/>
      <c r="D156" s="20"/>
      <c r="E156" s="13"/>
      <c r="F156" s="13"/>
    </row>
    <row r="157" spans="1:6" ht="16.5" customHeight="1" thickTop="1" thickBot="1" x14ac:dyDescent="0.3">
      <c r="A157" s="20"/>
      <c r="B157" s="15" t="s">
        <v>284</v>
      </c>
      <c r="C157" s="6"/>
      <c r="D157" s="6"/>
      <c r="E157" s="13"/>
      <c r="F157" s="13"/>
    </row>
    <row r="158" spans="1:6" ht="16.5" customHeight="1" thickTop="1" x14ac:dyDescent="0.25">
      <c r="A158" s="20"/>
      <c r="B158" s="16" t="s">
        <v>285</v>
      </c>
      <c r="C158" s="24" t="s">
        <v>286</v>
      </c>
      <c r="D158" s="34" t="s">
        <v>287</v>
      </c>
      <c r="E158" s="20"/>
      <c r="F158" s="20"/>
    </row>
    <row r="159" spans="1:6" ht="16.5" customHeight="1" x14ac:dyDescent="0.25">
      <c r="A159" s="20"/>
      <c r="B159" s="17" t="s">
        <v>288</v>
      </c>
      <c r="C159" s="25" t="s">
        <v>289</v>
      </c>
      <c r="D159" s="34" t="s">
        <v>287</v>
      </c>
      <c r="E159" s="20"/>
      <c r="F159" s="20"/>
    </row>
    <row r="160" spans="1:6" ht="16.5" customHeight="1" thickBot="1" x14ac:dyDescent="0.3">
      <c r="A160" s="20"/>
      <c r="B160" s="18" t="s">
        <v>290</v>
      </c>
      <c r="C160" s="26" t="s">
        <v>291</v>
      </c>
      <c r="D160" s="34" t="s">
        <v>287</v>
      </c>
      <c r="E160" s="20"/>
      <c r="F160" s="20"/>
    </row>
    <row r="161" spans="1:6" ht="16.5" customHeight="1" thickTop="1" thickBot="1" x14ac:dyDescent="0.3">
      <c r="A161" s="20"/>
      <c r="B161" s="20"/>
      <c r="C161" s="20"/>
      <c r="D161" s="20"/>
      <c r="E161" s="13"/>
      <c r="F161" s="13"/>
    </row>
    <row r="162" spans="1:6" ht="16.5" customHeight="1" thickTop="1" thickBot="1" x14ac:dyDescent="0.3">
      <c r="A162" s="20"/>
      <c r="B162" s="15" t="s">
        <v>292</v>
      </c>
      <c r="C162" s="6"/>
      <c r="D162" s="6"/>
      <c r="E162" s="13"/>
      <c r="F162" s="13"/>
    </row>
    <row r="163" spans="1:6" ht="16.5" customHeight="1" thickTop="1" x14ac:dyDescent="0.25">
      <c r="A163" s="20"/>
      <c r="B163" s="16" t="s">
        <v>293</v>
      </c>
      <c r="C163" s="24" t="s">
        <v>294</v>
      </c>
      <c r="D163" s="34" t="s">
        <v>295</v>
      </c>
      <c r="E163" s="20"/>
      <c r="F163" s="20"/>
    </row>
    <row r="164" spans="1:6" ht="16.5" customHeight="1" x14ac:dyDescent="0.25">
      <c r="A164" s="20"/>
      <c r="B164" s="17" t="s">
        <v>296</v>
      </c>
      <c r="C164" s="25" t="s">
        <v>297</v>
      </c>
      <c r="D164" s="34" t="s">
        <v>295</v>
      </c>
      <c r="E164" s="20"/>
      <c r="F164" s="20"/>
    </row>
    <row r="165" spans="1:6" ht="16.5" customHeight="1" x14ac:dyDescent="0.25">
      <c r="A165" s="20"/>
      <c r="B165" s="50"/>
      <c r="C165" s="51"/>
      <c r="D165" s="53"/>
      <c r="E165" s="20"/>
      <c r="F165" s="20"/>
    </row>
    <row r="166" spans="1:6" ht="16.5" customHeight="1" x14ac:dyDescent="0.25">
      <c r="A166" s="20"/>
      <c r="B166" s="17" t="s">
        <v>298</v>
      </c>
      <c r="C166" s="25" t="s">
        <v>299</v>
      </c>
      <c r="D166" s="34" t="s">
        <v>300</v>
      </c>
      <c r="E166" s="20"/>
      <c r="F166" s="20"/>
    </row>
    <row r="167" spans="1:6" ht="16.5" customHeight="1" x14ac:dyDescent="0.25">
      <c r="A167" s="20"/>
      <c r="B167" s="17" t="s">
        <v>301</v>
      </c>
      <c r="C167" s="25" t="s">
        <v>302</v>
      </c>
      <c r="D167" s="34" t="s">
        <v>300</v>
      </c>
      <c r="E167" s="20"/>
      <c r="F167" s="20"/>
    </row>
    <row r="168" spans="1:6" ht="16.5" customHeight="1" x14ac:dyDescent="0.25">
      <c r="A168" s="20"/>
      <c r="B168" s="50"/>
      <c r="C168" s="51"/>
      <c r="D168" s="53"/>
      <c r="E168" s="20"/>
      <c r="F168" s="20"/>
    </row>
    <row r="169" spans="1:6" ht="16.5" customHeight="1" x14ac:dyDescent="0.25">
      <c r="A169" s="20"/>
      <c r="B169" s="17" t="s">
        <v>303</v>
      </c>
      <c r="C169" s="25" t="s">
        <v>304</v>
      </c>
      <c r="D169" s="34" t="s">
        <v>305</v>
      </c>
      <c r="E169" s="20"/>
      <c r="F169" s="20"/>
    </row>
    <row r="170" spans="1:6" ht="16.5" customHeight="1" x14ac:dyDescent="0.25">
      <c r="A170" s="20"/>
      <c r="B170" s="17" t="s">
        <v>306</v>
      </c>
      <c r="C170" s="25" t="s">
        <v>307</v>
      </c>
      <c r="D170" s="34" t="s">
        <v>305</v>
      </c>
      <c r="E170" s="20"/>
      <c r="F170" s="20"/>
    </row>
    <row r="171" spans="1:6" ht="16.5" customHeight="1" x14ac:dyDescent="0.25">
      <c r="A171" s="20"/>
      <c r="B171" s="50"/>
      <c r="C171" s="51"/>
      <c r="D171" s="53"/>
      <c r="E171" s="20"/>
      <c r="F171" s="20"/>
    </row>
    <row r="172" spans="1:6" ht="16.5" customHeight="1" x14ac:dyDescent="0.25">
      <c r="A172" s="20"/>
      <c r="B172" s="17" t="s">
        <v>308</v>
      </c>
      <c r="C172" s="25" t="s">
        <v>309</v>
      </c>
      <c r="D172" s="34" t="s">
        <v>310</v>
      </c>
      <c r="E172" s="20"/>
      <c r="F172" s="20"/>
    </row>
    <row r="173" spans="1:6" ht="16.5" customHeight="1" x14ac:dyDescent="0.25">
      <c r="A173" s="20"/>
      <c r="B173" s="17" t="s">
        <v>311</v>
      </c>
      <c r="C173" s="25" t="s">
        <v>312</v>
      </c>
      <c r="D173" s="34" t="s">
        <v>310</v>
      </c>
      <c r="E173" s="20"/>
      <c r="F173" s="20"/>
    </row>
    <row r="174" spans="1:6" ht="16.5" customHeight="1" x14ac:dyDescent="0.25">
      <c r="A174" s="20"/>
      <c r="B174" s="50"/>
      <c r="C174" s="51"/>
      <c r="D174" s="53"/>
      <c r="E174" s="20"/>
      <c r="F174" s="20"/>
    </row>
    <row r="175" spans="1:6" ht="16.5" customHeight="1" x14ac:dyDescent="0.25">
      <c r="A175" s="20"/>
      <c r="B175" s="17" t="s">
        <v>313</v>
      </c>
      <c r="C175" s="25" t="s">
        <v>314</v>
      </c>
      <c r="D175" s="34" t="s">
        <v>315</v>
      </c>
      <c r="E175" s="20"/>
      <c r="F175" s="20"/>
    </row>
    <row r="176" spans="1:6" ht="16.5" customHeight="1" thickBot="1" x14ac:dyDescent="0.3">
      <c r="A176" s="20"/>
      <c r="B176" s="18" t="s">
        <v>316</v>
      </c>
      <c r="C176" s="29" t="s">
        <v>317</v>
      </c>
      <c r="D176" s="34" t="s">
        <v>315</v>
      </c>
      <c r="E176" s="20"/>
      <c r="F176" s="20"/>
    </row>
    <row r="177" spans="1:6" ht="16.5" customHeight="1" thickTop="1" thickBot="1" x14ac:dyDescent="0.3">
      <c r="A177" s="10"/>
      <c r="B177" s="32"/>
      <c r="C177" s="31"/>
      <c r="D177" s="32"/>
      <c r="E177" s="9"/>
      <c r="F177" s="9"/>
    </row>
    <row r="178" spans="1:6" ht="16.5" customHeight="1" thickTop="1" thickBot="1" x14ac:dyDescent="0.3">
      <c r="A178" s="20"/>
      <c r="B178" s="21" t="s">
        <v>318</v>
      </c>
      <c r="C178" s="30" t="s">
        <v>319</v>
      </c>
      <c r="D178" s="1"/>
      <c r="E178" s="13"/>
      <c r="F178" s="13"/>
    </row>
    <row r="179" spans="1:6" ht="16.5" customHeight="1" thickTop="1" thickBot="1" x14ac:dyDescent="0.4">
      <c r="A179" s="20"/>
      <c r="B179" s="27"/>
      <c r="C179" s="12"/>
      <c r="D179" s="27"/>
      <c r="E179" s="13"/>
      <c r="F179" s="13"/>
    </row>
    <row r="180" spans="1:6" ht="16.5" customHeight="1" thickTop="1" thickBot="1" x14ac:dyDescent="0.3">
      <c r="A180" s="20"/>
      <c r="B180" s="15" t="s">
        <v>320</v>
      </c>
      <c r="C180" s="6"/>
      <c r="D180" s="6"/>
      <c r="E180" s="13"/>
      <c r="F180" s="13"/>
    </row>
    <row r="181" spans="1:6" ht="16.5" customHeight="1" thickTop="1" x14ac:dyDescent="0.25">
      <c r="A181" s="20"/>
      <c r="B181" s="16" t="s">
        <v>321</v>
      </c>
      <c r="C181" s="24" t="s">
        <v>322</v>
      </c>
      <c r="D181" s="7"/>
      <c r="E181" s="13"/>
      <c r="F181" s="13"/>
    </row>
    <row r="182" spans="1:6" ht="16.5" customHeight="1" x14ac:dyDescent="0.25">
      <c r="A182" s="20"/>
      <c r="B182" s="17" t="s">
        <v>323</v>
      </c>
      <c r="C182" s="25" t="s">
        <v>324</v>
      </c>
      <c r="D182" s="3"/>
      <c r="E182" s="13"/>
      <c r="F182" s="13"/>
    </row>
    <row r="183" spans="1:6" ht="16.5" customHeight="1" thickBot="1" x14ac:dyDescent="0.3">
      <c r="A183" s="20"/>
      <c r="B183" s="18" t="s">
        <v>325</v>
      </c>
      <c r="C183" s="26" t="s">
        <v>326</v>
      </c>
      <c r="D183" s="2"/>
      <c r="E183" s="13"/>
      <c r="F183" s="13"/>
    </row>
    <row r="184" spans="1:6" ht="14.5" thickTop="1" x14ac:dyDescent="0.3">
      <c r="A184" s="8"/>
      <c r="B184" s="8"/>
      <c r="C184" s="8"/>
      <c r="D184" s="8"/>
      <c r="E184" s="8"/>
      <c r="F184" s="8"/>
    </row>
  </sheetData>
  <mergeCells count="4">
    <mergeCell ref="B1:E1"/>
    <mergeCell ref="B2:E2"/>
    <mergeCell ref="B5:B7"/>
    <mergeCell ref="C5:C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5266A-D251-47D2-AB6F-5F59A4BD8227}">
  <sheetPr>
    <tabColor rgb="FF57A1DF"/>
  </sheetPr>
  <dimension ref="A1:D251"/>
  <sheetViews>
    <sheetView topLeftCell="A21" workbookViewId="0">
      <selection activeCell="C29" sqref="C29"/>
    </sheetView>
  </sheetViews>
  <sheetFormatPr defaultRowHeight="12.5" x14ac:dyDescent="0.25"/>
  <cols>
    <col min="1" max="1" width="3.7265625" customWidth="1"/>
    <col min="2" max="2" width="129.7265625" customWidth="1"/>
    <col min="3" max="3" width="14.54296875" customWidth="1"/>
    <col min="4" max="4" width="14" customWidth="1"/>
    <col min="16384" max="16384" width="9.1796875" bestFit="1" customWidth="1"/>
  </cols>
  <sheetData>
    <row r="1" spans="1:4" ht="19" x14ac:dyDescent="0.4">
      <c r="A1" s="22"/>
      <c r="B1" s="5" t="s">
        <v>327</v>
      </c>
      <c r="C1" s="5"/>
      <c r="D1" s="5"/>
    </row>
    <row r="2" spans="1:4" ht="19" x14ac:dyDescent="0.4">
      <c r="A2" s="22"/>
      <c r="B2" s="49"/>
      <c r="C2" s="5"/>
      <c r="D2" s="5"/>
    </row>
    <row r="3" spans="1:4" ht="19" x14ac:dyDescent="0.4">
      <c r="A3" s="22"/>
      <c r="B3" s="38" t="s">
        <v>328</v>
      </c>
      <c r="C3" s="38"/>
      <c r="D3" s="22"/>
    </row>
    <row r="4" spans="1:4" ht="14.5" thickBot="1" x14ac:dyDescent="0.35">
      <c r="A4" s="11"/>
      <c r="B4" s="11"/>
      <c r="C4" s="11"/>
      <c r="D4" s="11"/>
    </row>
    <row r="5" spans="1:4" ht="25" thickTop="1" x14ac:dyDescent="0.25">
      <c r="A5" s="36"/>
      <c r="B5" s="190" t="s">
        <v>7</v>
      </c>
      <c r="C5" s="193" t="s">
        <v>8</v>
      </c>
      <c r="D5" s="193" t="s">
        <v>9</v>
      </c>
    </row>
    <row r="6" spans="1:4" ht="24.5" x14ac:dyDescent="0.25">
      <c r="A6" s="36"/>
      <c r="B6" s="191"/>
      <c r="C6" s="196"/>
      <c r="D6" s="196"/>
    </row>
    <row r="7" spans="1:4" ht="25" thickBot="1" x14ac:dyDescent="0.3">
      <c r="A7" s="36"/>
      <c r="B7" s="192"/>
      <c r="C7" s="197"/>
      <c r="D7" s="197"/>
    </row>
    <row r="8" spans="1:4" ht="25.5" thickTop="1" thickBot="1" x14ac:dyDescent="0.3">
      <c r="A8" s="36"/>
      <c r="B8" s="19"/>
      <c r="C8" s="19"/>
      <c r="D8" s="20"/>
    </row>
    <row r="9" spans="1:4" ht="15" customHeight="1" thickTop="1" thickBot="1" x14ac:dyDescent="0.3">
      <c r="A9" s="36"/>
      <c r="B9" s="15" t="s">
        <v>329</v>
      </c>
      <c r="C9" s="19"/>
      <c r="D9" s="20"/>
    </row>
    <row r="10" spans="1:4" ht="15" customHeight="1" thickTop="1" x14ac:dyDescent="0.25">
      <c r="A10" s="37"/>
      <c r="B10" s="16" t="s">
        <v>330</v>
      </c>
      <c r="C10" s="40" t="s">
        <v>331</v>
      </c>
      <c r="D10" s="40" t="s">
        <v>332</v>
      </c>
    </row>
    <row r="11" spans="1:4" ht="15" customHeight="1" x14ac:dyDescent="0.25">
      <c r="A11" s="37"/>
      <c r="B11" s="17" t="s">
        <v>333</v>
      </c>
      <c r="C11" s="41" t="s">
        <v>334</v>
      </c>
      <c r="D11" s="41" t="s">
        <v>332</v>
      </c>
    </row>
    <row r="12" spans="1:4" ht="15" customHeight="1" x14ac:dyDescent="0.25">
      <c r="A12" s="37"/>
      <c r="B12" s="17" t="s">
        <v>335</v>
      </c>
      <c r="C12" s="41" t="s">
        <v>336</v>
      </c>
      <c r="D12" s="41" t="s">
        <v>332</v>
      </c>
    </row>
    <row r="13" spans="1:4" ht="15" customHeight="1" x14ac:dyDescent="0.25">
      <c r="A13" s="37"/>
      <c r="B13" s="50"/>
      <c r="C13" s="54"/>
      <c r="D13" s="54"/>
    </row>
    <row r="14" spans="1:4" ht="15" customHeight="1" x14ac:dyDescent="0.25">
      <c r="A14" s="37"/>
      <c r="B14" s="17" t="s">
        <v>337</v>
      </c>
      <c r="C14" s="41" t="s">
        <v>338</v>
      </c>
      <c r="D14" s="41" t="s">
        <v>339</v>
      </c>
    </row>
    <row r="15" spans="1:4" ht="15" customHeight="1" x14ac:dyDescent="0.25">
      <c r="A15" s="37"/>
      <c r="B15" s="17" t="s">
        <v>340</v>
      </c>
      <c r="C15" s="41" t="s">
        <v>341</v>
      </c>
      <c r="D15" s="41" t="s">
        <v>339</v>
      </c>
    </row>
    <row r="16" spans="1:4" ht="15" customHeight="1" x14ac:dyDescent="0.25">
      <c r="A16" s="37"/>
      <c r="B16" s="17" t="s">
        <v>342</v>
      </c>
      <c r="C16" s="41" t="s">
        <v>343</v>
      </c>
      <c r="D16" s="41" t="s">
        <v>339</v>
      </c>
    </row>
    <row r="17" spans="1:4" ht="15" customHeight="1" x14ac:dyDescent="0.25">
      <c r="A17" s="37"/>
      <c r="B17" s="17" t="s">
        <v>344</v>
      </c>
      <c r="C17" s="41" t="s">
        <v>345</v>
      </c>
      <c r="D17" s="41" t="s">
        <v>339</v>
      </c>
    </row>
    <row r="18" spans="1:4" ht="15" customHeight="1" x14ac:dyDescent="0.25">
      <c r="A18" s="37"/>
      <c r="B18" s="17" t="s">
        <v>346</v>
      </c>
      <c r="C18" s="41" t="s">
        <v>347</v>
      </c>
      <c r="D18" s="41" t="s">
        <v>339</v>
      </c>
    </row>
    <row r="19" spans="1:4" ht="15" customHeight="1" x14ac:dyDescent="0.25">
      <c r="A19" s="37"/>
      <c r="B19" s="17" t="s">
        <v>348</v>
      </c>
      <c r="C19" s="41" t="s">
        <v>349</v>
      </c>
      <c r="D19" s="41" t="s">
        <v>339</v>
      </c>
    </row>
    <row r="20" spans="1:4" ht="15" customHeight="1" x14ac:dyDescent="0.25">
      <c r="A20" s="37"/>
      <c r="B20" s="50"/>
      <c r="C20" s="54"/>
      <c r="D20" s="54"/>
    </row>
    <row r="21" spans="1:4" ht="15" customHeight="1" x14ac:dyDescent="0.25">
      <c r="A21" s="37"/>
      <c r="B21" s="17" t="s">
        <v>350</v>
      </c>
      <c r="C21" s="41" t="s">
        <v>351</v>
      </c>
      <c r="D21" s="41" t="s">
        <v>352</v>
      </c>
    </row>
    <row r="22" spans="1:4" ht="15" customHeight="1" x14ac:dyDescent="0.25">
      <c r="A22" s="37"/>
      <c r="B22" s="17" t="s">
        <v>353</v>
      </c>
      <c r="C22" s="41" t="s">
        <v>354</v>
      </c>
      <c r="D22" s="41" t="s">
        <v>352</v>
      </c>
    </row>
    <row r="23" spans="1:4" ht="15" customHeight="1" x14ac:dyDescent="0.25">
      <c r="A23" s="37"/>
      <c r="B23" s="17" t="s">
        <v>355</v>
      </c>
      <c r="C23" s="41" t="s">
        <v>356</v>
      </c>
      <c r="D23" s="41" t="s">
        <v>352</v>
      </c>
    </row>
    <row r="24" spans="1:4" ht="15" customHeight="1" x14ac:dyDescent="0.25">
      <c r="A24" s="37"/>
      <c r="B24" s="50"/>
      <c r="C24" s="54"/>
      <c r="D24" s="54"/>
    </row>
    <row r="25" spans="1:4" ht="15" customHeight="1" x14ac:dyDescent="0.25">
      <c r="A25" s="37"/>
      <c r="B25" s="17" t="s">
        <v>357</v>
      </c>
      <c r="C25" s="41" t="s">
        <v>358</v>
      </c>
      <c r="D25" s="41" t="s">
        <v>359</v>
      </c>
    </row>
    <row r="26" spans="1:4" ht="15" customHeight="1" x14ac:dyDescent="0.25">
      <c r="A26" s="36"/>
      <c r="B26" s="17" t="s">
        <v>360</v>
      </c>
      <c r="C26" s="41" t="s">
        <v>361</v>
      </c>
      <c r="D26" s="41" t="s">
        <v>359</v>
      </c>
    </row>
    <row r="27" spans="1:4" ht="15" customHeight="1" x14ac:dyDescent="0.25">
      <c r="A27" s="36"/>
      <c r="B27" s="17" t="s">
        <v>362</v>
      </c>
      <c r="C27" s="41" t="s">
        <v>363</v>
      </c>
      <c r="D27" s="41" t="s">
        <v>359</v>
      </c>
    </row>
    <row r="28" spans="1:4" ht="15" customHeight="1" x14ac:dyDescent="0.25">
      <c r="A28" s="36"/>
      <c r="B28" s="50"/>
      <c r="C28" s="54"/>
      <c r="D28" s="54"/>
    </row>
    <row r="29" spans="1:4" ht="15" customHeight="1" x14ac:dyDescent="0.25">
      <c r="A29" s="36"/>
      <c r="B29" s="17" t="s">
        <v>364</v>
      </c>
      <c r="C29" s="41" t="s">
        <v>365</v>
      </c>
      <c r="D29" s="41" t="s">
        <v>366</v>
      </c>
    </row>
    <row r="30" spans="1:4" ht="15" customHeight="1" x14ac:dyDescent="0.25">
      <c r="A30" s="36"/>
      <c r="B30" s="17" t="s">
        <v>367</v>
      </c>
      <c r="C30" s="41" t="s">
        <v>368</v>
      </c>
      <c r="D30" s="41" t="s">
        <v>366</v>
      </c>
    </row>
    <row r="31" spans="1:4" ht="15" customHeight="1" x14ac:dyDescent="0.25">
      <c r="A31" s="36"/>
      <c r="B31" s="17" t="s">
        <v>369</v>
      </c>
      <c r="C31" s="41" t="s">
        <v>370</v>
      </c>
      <c r="D31" s="41" t="s">
        <v>366</v>
      </c>
    </row>
    <row r="32" spans="1:4" ht="15" customHeight="1" x14ac:dyDescent="0.25">
      <c r="A32" s="36"/>
      <c r="B32" s="17" t="s">
        <v>371</v>
      </c>
      <c r="C32" s="41" t="s">
        <v>372</v>
      </c>
      <c r="D32" s="41" t="s">
        <v>366</v>
      </c>
    </row>
    <row r="33" spans="1:4" ht="15" customHeight="1" x14ac:dyDescent="0.25">
      <c r="A33" s="36"/>
      <c r="B33" s="17" t="s">
        <v>373</v>
      </c>
      <c r="C33" s="41" t="s">
        <v>374</v>
      </c>
      <c r="D33" s="41" t="s">
        <v>366</v>
      </c>
    </row>
    <row r="34" spans="1:4" ht="15" customHeight="1" x14ac:dyDescent="0.25">
      <c r="A34" s="36"/>
      <c r="B34" s="17" t="s">
        <v>375</v>
      </c>
      <c r="C34" s="41" t="s">
        <v>376</v>
      </c>
      <c r="D34" s="41" t="s">
        <v>366</v>
      </c>
    </row>
    <row r="35" spans="1:4" ht="15" customHeight="1" x14ac:dyDescent="0.25">
      <c r="A35" s="37"/>
      <c r="B35" s="17" t="s">
        <v>377</v>
      </c>
      <c r="C35" s="41" t="s">
        <v>378</v>
      </c>
      <c r="D35" s="41" t="s">
        <v>366</v>
      </c>
    </row>
    <row r="36" spans="1:4" ht="15" customHeight="1" x14ac:dyDescent="0.25">
      <c r="A36" s="37"/>
      <c r="B36" s="17" t="s">
        <v>379</v>
      </c>
      <c r="C36" s="41" t="s">
        <v>380</v>
      </c>
      <c r="D36" s="41" t="s">
        <v>366</v>
      </c>
    </row>
    <row r="37" spans="1:4" ht="15" customHeight="1" x14ac:dyDescent="0.25">
      <c r="A37" s="37"/>
      <c r="B37" s="17" t="s">
        <v>381</v>
      </c>
      <c r="C37" s="41" t="s">
        <v>382</v>
      </c>
      <c r="D37" s="41" t="s">
        <v>366</v>
      </c>
    </row>
    <row r="38" spans="1:4" ht="15" customHeight="1" x14ac:dyDescent="0.25">
      <c r="A38" s="37"/>
      <c r="B38" s="17" t="s">
        <v>383</v>
      </c>
      <c r="C38" s="41" t="s">
        <v>384</v>
      </c>
      <c r="D38" s="41" t="s">
        <v>366</v>
      </c>
    </row>
    <row r="39" spans="1:4" ht="15" customHeight="1" x14ac:dyDescent="0.25">
      <c r="A39" s="37"/>
      <c r="B39" s="17" t="s">
        <v>385</v>
      </c>
      <c r="C39" s="41" t="s">
        <v>386</v>
      </c>
      <c r="D39" s="41" t="s">
        <v>366</v>
      </c>
    </row>
    <row r="40" spans="1:4" ht="15" customHeight="1" x14ac:dyDescent="0.25">
      <c r="A40" s="37"/>
      <c r="B40" s="17" t="s">
        <v>387</v>
      </c>
      <c r="C40" s="41" t="s">
        <v>388</v>
      </c>
      <c r="D40" s="41" t="s">
        <v>366</v>
      </c>
    </row>
    <row r="41" spans="1:4" ht="15" customHeight="1" x14ac:dyDescent="0.25">
      <c r="A41" s="37"/>
      <c r="B41" s="17" t="s">
        <v>389</v>
      </c>
      <c r="C41" s="41" t="s">
        <v>390</v>
      </c>
      <c r="D41" s="41" t="s">
        <v>366</v>
      </c>
    </row>
    <row r="42" spans="1:4" ht="15" customHeight="1" x14ac:dyDescent="0.25">
      <c r="A42" s="37"/>
      <c r="B42" s="17" t="s">
        <v>391</v>
      </c>
      <c r="C42" s="41" t="s">
        <v>392</v>
      </c>
      <c r="D42" s="41" t="s">
        <v>366</v>
      </c>
    </row>
    <row r="43" spans="1:4" ht="15" customHeight="1" x14ac:dyDescent="0.25">
      <c r="A43" s="37"/>
      <c r="B43" s="17" t="s">
        <v>393</v>
      </c>
      <c r="C43" s="41" t="s">
        <v>394</v>
      </c>
      <c r="D43" s="41" t="s">
        <v>366</v>
      </c>
    </row>
    <row r="44" spans="1:4" ht="15" customHeight="1" x14ac:dyDescent="0.25">
      <c r="A44" s="37"/>
      <c r="B44" s="17" t="s">
        <v>395</v>
      </c>
      <c r="C44" s="41" t="s">
        <v>396</v>
      </c>
      <c r="D44" s="41" t="s">
        <v>366</v>
      </c>
    </row>
    <row r="45" spans="1:4" ht="15" customHeight="1" x14ac:dyDescent="0.25">
      <c r="A45" s="37"/>
      <c r="B45" s="17" t="s">
        <v>397</v>
      </c>
      <c r="C45" s="41" t="s">
        <v>398</v>
      </c>
      <c r="D45" s="41" t="s">
        <v>366</v>
      </c>
    </row>
    <row r="46" spans="1:4" ht="15" customHeight="1" x14ac:dyDescent="0.25">
      <c r="A46" s="37"/>
      <c r="B46" s="17" t="s">
        <v>399</v>
      </c>
      <c r="C46" s="41" t="s">
        <v>400</v>
      </c>
      <c r="D46" s="41" t="s">
        <v>366</v>
      </c>
    </row>
    <row r="47" spans="1:4" ht="15" customHeight="1" x14ac:dyDescent="0.25">
      <c r="A47" s="37"/>
      <c r="B47" s="17" t="s">
        <v>401</v>
      </c>
      <c r="C47" s="41" t="s">
        <v>402</v>
      </c>
      <c r="D47" s="41" t="s">
        <v>366</v>
      </c>
    </row>
    <row r="48" spans="1:4" ht="15" customHeight="1" x14ac:dyDescent="0.25">
      <c r="A48" s="37"/>
      <c r="B48" s="17" t="s">
        <v>403</v>
      </c>
      <c r="C48" s="41" t="s">
        <v>404</v>
      </c>
      <c r="D48" s="41" t="s">
        <v>366</v>
      </c>
    </row>
    <row r="49" spans="1:4" ht="15" customHeight="1" x14ac:dyDescent="0.25">
      <c r="A49" s="37"/>
      <c r="B49" s="17" t="s">
        <v>405</v>
      </c>
      <c r="C49" s="41" t="s">
        <v>406</v>
      </c>
      <c r="D49" s="41" t="s">
        <v>366</v>
      </c>
    </row>
    <row r="50" spans="1:4" ht="15" customHeight="1" x14ac:dyDescent="0.25">
      <c r="A50" s="37"/>
      <c r="B50" s="17" t="s">
        <v>407</v>
      </c>
      <c r="C50" s="41" t="s">
        <v>408</v>
      </c>
      <c r="D50" s="41" t="s">
        <v>366</v>
      </c>
    </row>
    <row r="51" spans="1:4" ht="15" customHeight="1" x14ac:dyDescent="0.25">
      <c r="A51" s="37"/>
      <c r="B51" s="17" t="s">
        <v>409</v>
      </c>
      <c r="C51" s="41" t="s">
        <v>410</v>
      </c>
      <c r="D51" s="41" t="s">
        <v>366</v>
      </c>
    </row>
    <row r="52" spans="1:4" ht="15" customHeight="1" x14ac:dyDescent="0.25">
      <c r="A52" s="37"/>
      <c r="B52" s="17" t="s">
        <v>411</v>
      </c>
      <c r="C52" s="41" t="s">
        <v>412</v>
      </c>
      <c r="D52" s="41" t="s">
        <v>366</v>
      </c>
    </row>
    <row r="53" spans="1:4" ht="15" customHeight="1" x14ac:dyDescent="0.25">
      <c r="A53" s="37"/>
      <c r="B53" s="17" t="s">
        <v>413</v>
      </c>
      <c r="C53" s="41" t="s">
        <v>414</v>
      </c>
      <c r="D53" s="41" t="s">
        <v>366</v>
      </c>
    </row>
    <row r="54" spans="1:4" ht="15" customHeight="1" x14ac:dyDescent="0.25">
      <c r="A54" s="37"/>
      <c r="B54" s="17" t="s">
        <v>415</v>
      </c>
      <c r="C54" s="41" t="s">
        <v>416</v>
      </c>
      <c r="D54" s="41" t="s">
        <v>366</v>
      </c>
    </row>
    <row r="55" spans="1:4" ht="15" customHeight="1" x14ac:dyDescent="0.25">
      <c r="A55" s="37"/>
      <c r="B55" s="17" t="s">
        <v>417</v>
      </c>
      <c r="C55" s="41" t="s">
        <v>418</v>
      </c>
      <c r="D55" s="41" t="s">
        <v>366</v>
      </c>
    </row>
    <row r="56" spans="1:4" ht="15" customHeight="1" x14ac:dyDescent="0.25">
      <c r="A56" s="37"/>
      <c r="B56" s="17" t="s">
        <v>419</v>
      </c>
      <c r="C56" s="41" t="s">
        <v>420</v>
      </c>
      <c r="D56" s="41" t="s">
        <v>366</v>
      </c>
    </row>
    <row r="57" spans="1:4" ht="15" customHeight="1" x14ac:dyDescent="0.25">
      <c r="A57" s="37"/>
      <c r="B57" s="17" t="s">
        <v>421</v>
      </c>
      <c r="C57" s="41" t="s">
        <v>422</v>
      </c>
      <c r="D57" s="41" t="s">
        <v>366</v>
      </c>
    </row>
    <row r="58" spans="1:4" ht="15" customHeight="1" x14ac:dyDescent="0.25">
      <c r="A58" s="37"/>
      <c r="B58" s="17" t="s">
        <v>423</v>
      </c>
      <c r="C58" s="41" t="s">
        <v>424</v>
      </c>
      <c r="D58" s="41" t="s">
        <v>366</v>
      </c>
    </row>
    <row r="59" spans="1:4" ht="15" customHeight="1" x14ac:dyDescent="0.25">
      <c r="A59" s="37"/>
      <c r="B59" s="50"/>
      <c r="C59" s="54"/>
      <c r="D59" s="54"/>
    </row>
    <row r="60" spans="1:4" ht="15" customHeight="1" x14ac:dyDescent="0.25">
      <c r="A60" s="36"/>
      <c r="B60" s="17" t="s">
        <v>425</v>
      </c>
      <c r="C60" s="41" t="s">
        <v>426</v>
      </c>
      <c r="D60" s="41" t="s">
        <v>427</v>
      </c>
    </row>
    <row r="61" spans="1:4" ht="15" customHeight="1" x14ac:dyDescent="0.25">
      <c r="A61" s="36"/>
      <c r="B61" s="17" t="s">
        <v>428</v>
      </c>
      <c r="C61" s="41" t="s">
        <v>429</v>
      </c>
      <c r="D61" s="41" t="s">
        <v>427</v>
      </c>
    </row>
    <row r="62" spans="1:4" ht="15" customHeight="1" x14ac:dyDescent="0.25">
      <c r="A62" s="36"/>
      <c r="B62" s="17" t="s">
        <v>430</v>
      </c>
      <c r="C62" s="41" t="s">
        <v>431</v>
      </c>
      <c r="D62" s="41" t="s">
        <v>427</v>
      </c>
    </row>
    <row r="63" spans="1:4" ht="15" customHeight="1" x14ac:dyDescent="0.25">
      <c r="A63" s="36"/>
      <c r="B63" s="50"/>
      <c r="C63" s="54"/>
      <c r="D63" s="54"/>
    </row>
    <row r="64" spans="1:4" ht="15" customHeight="1" x14ac:dyDescent="0.25">
      <c r="A64" s="36"/>
      <c r="B64" s="17" t="s">
        <v>432</v>
      </c>
      <c r="C64" s="41" t="s">
        <v>433</v>
      </c>
      <c r="D64" s="41" t="s">
        <v>434</v>
      </c>
    </row>
    <row r="65" spans="1:4" ht="15" customHeight="1" x14ac:dyDescent="0.25">
      <c r="A65" s="37"/>
      <c r="B65" s="17" t="s">
        <v>435</v>
      </c>
      <c r="C65" s="41" t="s">
        <v>436</v>
      </c>
      <c r="D65" s="41" t="s">
        <v>434</v>
      </c>
    </row>
    <row r="66" spans="1:4" ht="15" customHeight="1" x14ac:dyDescent="0.25">
      <c r="A66" s="37"/>
      <c r="B66" s="17" t="s">
        <v>437</v>
      </c>
      <c r="C66" s="41" t="s">
        <v>438</v>
      </c>
      <c r="D66" s="41" t="s">
        <v>434</v>
      </c>
    </row>
    <row r="67" spans="1:4" ht="15" customHeight="1" x14ac:dyDescent="0.25">
      <c r="A67" s="37"/>
      <c r="B67" s="50"/>
      <c r="C67" s="54"/>
      <c r="D67" s="54"/>
    </row>
    <row r="68" spans="1:4" ht="15" customHeight="1" x14ac:dyDescent="0.25">
      <c r="A68" s="37"/>
      <c r="B68" s="17" t="s">
        <v>439</v>
      </c>
      <c r="C68" s="41" t="s">
        <v>440</v>
      </c>
      <c r="D68" s="41" t="s">
        <v>441</v>
      </c>
    </row>
    <row r="69" spans="1:4" ht="15" customHeight="1" x14ac:dyDescent="0.25">
      <c r="A69" s="37"/>
      <c r="B69" s="17" t="s">
        <v>442</v>
      </c>
      <c r="C69" s="41" t="s">
        <v>443</v>
      </c>
      <c r="D69" s="41" t="s">
        <v>441</v>
      </c>
    </row>
    <row r="70" spans="1:4" ht="15" customHeight="1" x14ac:dyDescent="0.25">
      <c r="A70" s="37"/>
      <c r="B70" s="17" t="s">
        <v>444</v>
      </c>
      <c r="C70" s="41" t="s">
        <v>445</v>
      </c>
      <c r="D70" s="41" t="s">
        <v>441</v>
      </c>
    </row>
    <row r="71" spans="1:4" ht="15" customHeight="1" x14ac:dyDescent="0.25">
      <c r="A71" s="37"/>
      <c r="B71" s="50"/>
      <c r="C71" s="54"/>
      <c r="D71" s="54"/>
    </row>
    <row r="72" spans="1:4" ht="15" customHeight="1" x14ac:dyDescent="0.25">
      <c r="A72" s="36"/>
      <c r="B72" s="17" t="s">
        <v>446</v>
      </c>
      <c r="C72" s="41" t="s">
        <v>447</v>
      </c>
      <c r="D72" s="41" t="s">
        <v>448</v>
      </c>
    </row>
    <row r="73" spans="1:4" ht="15" customHeight="1" x14ac:dyDescent="0.25">
      <c r="A73" s="36"/>
      <c r="B73" s="17" t="s">
        <v>449</v>
      </c>
      <c r="C73" s="41" t="s">
        <v>450</v>
      </c>
      <c r="D73" s="41" t="s">
        <v>448</v>
      </c>
    </row>
    <row r="74" spans="1:4" ht="15" customHeight="1" x14ac:dyDescent="0.25">
      <c r="A74" s="36"/>
      <c r="B74" s="17" t="s">
        <v>451</v>
      </c>
      <c r="C74" s="41" t="s">
        <v>452</v>
      </c>
      <c r="D74" s="41" t="s">
        <v>448</v>
      </c>
    </row>
    <row r="75" spans="1:4" ht="15" customHeight="1" x14ac:dyDescent="0.25">
      <c r="A75" s="36"/>
      <c r="B75" s="17" t="s">
        <v>453</v>
      </c>
      <c r="C75" s="41" t="s">
        <v>454</v>
      </c>
      <c r="D75" s="41" t="s">
        <v>448</v>
      </c>
    </row>
    <row r="76" spans="1:4" ht="15" customHeight="1" x14ac:dyDescent="0.25">
      <c r="A76" s="36"/>
      <c r="B76" s="17" t="s">
        <v>455</v>
      </c>
      <c r="C76" s="41" t="s">
        <v>456</v>
      </c>
      <c r="D76" s="41" t="s">
        <v>448</v>
      </c>
    </row>
    <row r="77" spans="1:4" ht="15" customHeight="1" x14ac:dyDescent="0.25">
      <c r="A77" s="36"/>
      <c r="B77" s="17" t="s">
        <v>457</v>
      </c>
      <c r="C77" s="41" t="s">
        <v>458</v>
      </c>
      <c r="D77" s="41" t="s">
        <v>448</v>
      </c>
    </row>
    <row r="78" spans="1:4" ht="15" customHeight="1" x14ac:dyDescent="0.25">
      <c r="A78" s="36"/>
      <c r="B78" s="50"/>
      <c r="C78" s="54"/>
      <c r="D78" s="54"/>
    </row>
    <row r="79" spans="1:4" ht="15" customHeight="1" x14ac:dyDescent="0.25">
      <c r="A79" s="37"/>
      <c r="B79" s="17" t="s">
        <v>459</v>
      </c>
      <c r="C79" s="41" t="s">
        <v>460</v>
      </c>
      <c r="D79" s="41" t="s">
        <v>441</v>
      </c>
    </row>
    <row r="80" spans="1:4" ht="15" customHeight="1" x14ac:dyDescent="0.25">
      <c r="A80" s="37"/>
      <c r="B80" s="17" t="s">
        <v>461</v>
      </c>
      <c r="C80" s="41" t="s">
        <v>462</v>
      </c>
      <c r="D80" s="41" t="s">
        <v>441</v>
      </c>
    </row>
    <row r="81" spans="1:4" ht="15" customHeight="1" x14ac:dyDescent="0.25">
      <c r="A81" s="37"/>
      <c r="B81" s="17" t="s">
        <v>463</v>
      </c>
      <c r="C81" s="41" t="s">
        <v>464</v>
      </c>
      <c r="D81" s="41" t="s">
        <v>441</v>
      </c>
    </row>
    <row r="82" spans="1:4" ht="15" customHeight="1" x14ac:dyDescent="0.25">
      <c r="A82" s="37"/>
      <c r="B82" s="50"/>
      <c r="C82" s="54"/>
      <c r="D82" s="54"/>
    </row>
    <row r="83" spans="1:4" ht="15" customHeight="1" x14ac:dyDescent="0.25">
      <c r="A83" s="36"/>
      <c r="B83" s="17" t="s">
        <v>465</v>
      </c>
      <c r="C83" s="41" t="s">
        <v>466</v>
      </c>
      <c r="D83" s="41" t="s">
        <v>467</v>
      </c>
    </row>
    <row r="84" spans="1:4" ht="15" customHeight="1" x14ac:dyDescent="0.25">
      <c r="A84" s="36"/>
      <c r="B84" s="17" t="s">
        <v>468</v>
      </c>
      <c r="C84" s="41" t="s">
        <v>469</v>
      </c>
      <c r="D84" s="41" t="s">
        <v>467</v>
      </c>
    </row>
    <row r="85" spans="1:4" ht="15" customHeight="1" x14ac:dyDescent="0.25">
      <c r="A85" s="36"/>
      <c r="B85" s="17" t="s">
        <v>470</v>
      </c>
      <c r="C85" s="41" t="s">
        <v>471</v>
      </c>
      <c r="D85" s="41" t="s">
        <v>467</v>
      </c>
    </row>
    <row r="86" spans="1:4" ht="15" customHeight="1" x14ac:dyDescent="0.25">
      <c r="A86" s="36"/>
      <c r="B86" s="17" t="s">
        <v>472</v>
      </c>
      <c r="C86" s="41" t="s">
        <v>473</v>
      </c>
      <c r="D86" s="41" t="s">
        <v>467</v>
      </c>
    </row>
    <row r="87" spans="1:4" ht="15" customHeight="1" x14ac:dyDescent="0.25">
      <c r="A87" s="36"/>
      <c r="B87" s="17" t="s">
        <v>474</v>
      </c>
      <c r="C87" s="41" t="s">
        <v>475</v>
      </c>
      <c r="D87" s="41" t="s">
        <v>467</v>
      </c>
    </row>
    <row r="88" spans="1:4" ht="15" customHeight="1" x14ac:dyDescent="0.25">
      <c r="A88" s="36"/>
      <c r="B88" s="17" t="s">
        <v>476</v>
      </c>
      <c r="C88" s="41" t="s">
        <v>477</v>
      </c>
      <c r="D88" s="41" t="s">
        <v>467</v>
      </c>
    </row>
    <row r="89" spans="1:4" ht="15" customHeight="1" x14ac:dyDescent="0.25">
      <c r="A89" s="36"/>
      <c r="B89" s="50"/>
      <c r="C89" s="54"/>
      <c r="D89" s="54"/>
    </row>
    <row r="90" spans="1:4" ht="15" customHeight="1" x14ac:dyDescent="0.25">
      <c r="A90" s="36"/>
      <c r="B90" s="17" t="s">
        <v>478</v>
      </c>
      <c r="C90" s="41" t="s">
        <v>479</v>
      </c>
      <c r="D90" s="41" t="s">
        <v>480</v>
      </c>
    </row>
    <row r="91" spans="1:4" ht="15" customHeight="1" x14ac:dyDescent="0.25">
      <c r="A91" s="36"/>
      <c r="B91" s="17" t="s">
        <v>481</v>
      </c>
      <c r="C91" s="41" t="s">
        <v>482</v>
      </c>
      <c r="D91" s="41" t="s">
        <v>480</v>
      </c>
    </row>
    <row r="92" spans="1:4" ht="15" customHeight="1" x14ac:dyDescent="0.25">
      <c r="A92" s="36"/>
      <c r="B92" s="17" t="s">
        <v>483</v>
      </c>
      <c r="C92" s="41" t="s">
        <v>484</v>
      </c>
      <c r="D92" s="41" t="s">
        <v>480</v>
      </c>
    </row>
    <row r="93" spans="1:4" ht="15" customHeight="1" x14ac:dyDescent="0.25">
      <c r="A93" s="36"/>
      <c r="B93" s="50"/>
      <c r="C93" s="54"/>
      <c r="D93" s="54"/>
    </row>
    <row r="94" spans="1:4" ht="15" customHeight="1" x14ac:dyDescent="0.25">
      <c r="A94" s="37"/>
      <c r="B94" s="17" t="s">
        <v>485</v>
      </c>
      <c r="C94" s="41" t="s">
        <v>486</v>
      </c>
      <c r="D94" s="41" t="s">
        <v>487</v>
      </c>
    </row>
    <row r="95" spans="1:4" ht="15" customHeight="1" x14ac:dyDescent="0.25">
      <c r="A95" s="37"/>
      <c r="B95" s="17" t="s">
        <v>488</v>
      </c>
      <c r="C95" s="41" t="s">
        <v>489</v>
      </c>
      <c r="D95" s="41" t="s">
        <v>487</v>
      </c>
    </row>
    <row r="96" spans="1:4" ht="15" customHeight="1" x14ac:dyDescent="0.25">
      <c r="A96" s="37"/>
      <c r="B96" s="17" t="s">
        <v>490</v>
      </c>
      <c r="C96" s="41" t="s">
        <v>491</v>
      </c>
      <c r="D96" s="41" t="s">
        <v>487</v>
      </c>
    </row>
    <row r="97" spans="1:4" ht="15" customHeight="1" x14ac:dyDescent="0.25">
      <c r="A97" s="37"/>
      <c r="B97" s="50"/>
      <c r="C97" s="54"/>
      <c r="D97" s="54"/>
    </row>
    <row r="98" spans="1:4" ht="15" customHeight="1" x14ac:dyDescent="0.25">
      <c r="A98" s="37"/>
      <c r="B98" s="17" t="s">
        <v>492</v>
      </c>
      <c r="C98" s="41" t="s">
        <v>493</v>
      </c>
      <c r="D98" s="41" t="s">
        <v>494</v>
      </c>
    </row>
    <row r="99" spans="1:4" ht="15" customHeight="1" x14ac:dyDescent="0.25">
      <c r="A99" s="37"/>
      <c r="B99" s="17" t="s">
        <v>495</v>
      </c>
      <c r="C99" s="41" t="s">
        <v>496</v>
      </c>
      <c r="D99" s="41" t="s">
        <v>494</v>
      </c>
    </row>
    <row r="100" spans="1:4" ht="15" customHeight="1" x14ac:dyDescent="0.25">
      <c r="A100" s="37"/>
      <c r="B100" s="17" t="s">
        <v>497</v>
      </c>
      <c r="C100" s="41" t="s">
        <v>498</v>
      </c>
      <c r="D100" s="41" t="s">
        <v>494</v>
      </c>
    </row>
    <row r="101" spans="1:4" ht="15" customHeight="1" x14ac:dyDescent="0.25">
      <c r="A101" s="37"/>
      <c r="B101" s="17" t="s">
        <v>499</v>
      </c>
      <c r="C101" s="41" t="s">
        <v>500</v>
      </c>
      <c r="D101" s="41" t="s">
        <v>494</v>
      </c>
    </row>
    <row r="102" spans="1:4" ht="15" customHeight="1" x14ac:dyDescent="0.25">
      <c r="A102" s="37"/>
      <c r="B102" s="17" t="s">
        <v>501</v>
      </c>
      <c r="C102" s="41" t="s">
        <v>502</v>
      </c>
      <c r="D102" s="41" t="s">
        <v>494</v>
      </c>
    </row>
    <row r="103" spans="1:4" ht="15" customHeight="1" x14ac:dyDescent="0.25">
      <c r="A103" s="37"/>
      <c r="B103" s="17" t="s">
        <v>503</v>
      </c>
      <c r="C103" s="41" t="s">
        <v>504</v>
      </c>
      <c r="D103" s="41" t="s">
        <v>494</v>
      </c>
    </row>
    <row r="104" spans="1:4" ht="15" customHeight="1" x14ac:dyDescent="0.25">
      <c r="A104" s="37"/>
      <c r="B104" s="17" t="s">
        <v>505</v>
      </c>
      <c r="C104" s="41" t="s">
        <v>506</v>
      </c>
      <c r="D104" s="41" t="s">
        <v>494</v>
      </c>
    </row>
    <row r="105" spans="1:4" ht="15" customHeight="1" x14ac:dyDescent="0.25">
      <c r="A105" s="37"/>
      <c r="B105" s="17" t="s">
        <v>507</v>
      </c>
      <c r="C105" s="41" t="s">
        <v>508</v>
      </c>
      <c r="D105" s="41" t="s">
        <v>494</v>
      </c>
    </row>
    <row r="106" spans="1:4" ht="15" customHeight="1" x14ac:dyDescent="0.25">
      <c r="A106" s="37"/>
      <c r="B106" s="17" t="s">
        <v>509</v>
      </c>
      <c r="C106" s="41" t="s">
        <v>510</v>
      </c>
      <c r="D106" s="41" t="s">
        <v>494</v>
      </c>
    </row>
    <row r="107" spans="1:4" ht="15" customHeight="1" x14ac:dyDescent="0.25">
      <c r="A107" s="36"/>
      <c r="B107" s="17" t="s">
        <v>511</v>
      </c>
      <c r="C107" s="41" t="s">
        <v>512</v>
      </c>
      <c r="D107" s="41" t="s">
        <v>494</v>
      </c>
    </row>
    <row r="108" spans="1:4" ht="15" customHeight="1" x14ac:dyDescent="0.25">
      <c r="A108" s="36"/>
      <c r="B108" s="17" t="s">
        <v>513</v>
      </c>
      <c r="C108" s="41" t="s">
        <v>514</v>
      </c>
      <c r="D108" s="41" t="s">
        <v>494</v>
      </c>
    </row>
    <row r="109" spans="1:4" ht="15" customHeight="1" x14ac:dyDescent="0.25">
      <c r="A109" s="36"/>
      <c r="B109" s="17" t="s">
        <v>515</v>
      </c>
      <c r="C109" s="41" t="s">
        <v>516</v>
      </c>
      <c r="D109" s="41" t="s">
        <v>494</v>
      </c>
    </row>
    <row r="110" spans="1:4" ht="15" customHeight="1" x14ac:dyDescent="0.25">
      <c r="A110" s="36"/>
      <c r="B110" s="50"/>
      <c r="C110" s="54"/>
      <c r="D110" s="54"/>
    </row>
    <row r="111" spans="1:4" ht="15" customHeight="1" x14ac:dyDescent="0.25">
      <c r="A111" s="36"/>
      <c r="B111" s="17" t="s">
        <v>517</v>
      </c>
      <c r="C111" s="41" t="s">
        <v>518</v>
      </c>
      <c r="D111" s="41" t="s">
        <v>519</v>
      </c>
    </row>
    <row r="112" spans="1:4" ht="15" customHeight="1" x14ac:dyDescent="0.25">
      <c r="A112" s="36"/>
      <c r="B112" s="17" t="s">
        <v>520</v>
      </c>
      <c r="C112" s="41" t="s">
        <v>521</v>
      </c>
      <c r="D112" s="41" t="s">
        <v>519</v>
      </c>
    </row>
    <row r="113" spans="1:4" ht="15" customHeight="1" x14ac:dyDescent="0.25">
      <c r="A113" s="36"/>
      <c r="B113" s="17" t="s">
        <v>522</v>
      </c>
      <c r="C113" s="41" t="s">
        <v>523</v>
      </c>
      <c r="D113" s="41" t="s">
        <v>519</v>
      </c>
    </row>
    <row r="114" spans="1:4" ht="15" customHeight="1" x14ac:dyDescent="0.25">
      <c r="A114" s="36"/>
      <c r="B114" s="50"/>
      <c r="C114" s="54"/>
      <c r="D114" s="54"/>
    </row>
    <row r="115" spans="1:4" ht="15" customHeight="1" x14ac:dyDescent="0.25">
      <c r="A115" s="36"/>
      <c r="B115" s="17" t="s">
        <v>524</v>
      </c>
      <c r="C115" s="41" t="s">
        <v>525</v>
      </c>
      <c r="D115" s="41" t="s">
        <v>526</v>
      </c>
    </row>
    <row r="116" spans="1:4" ht="15" customHeight="1" x14ac:dyDescent="0.25">
      <c r="A116" s="36"/>
      <c r="B116" s="17" t="s">
        <v>527</v>
      </c>
      <c r="C116" s="41" t="s">
        <v>528</v>
      </c>
      <c r="D116" s="41" t="s">
        <v>526</v>
      </c>
    </row>
    <row r="117" spans="1:4" ht="15" customHeight="1" x14ac:dyDescent="0.25">
      <c r="A117" s="36"/>
      <c r="B117" s="17" t="s">
        <v>529</v>
      </c>
      <c r="C117" s="41" t="s">
        <v>530</v>
      </c>
      <c r="D117" s="41" t="s">
        <v>526</v>
      </c>
    </row>
    <row r="118" spans="1:4" ht="15" customHeight="1" x14ac:dyDescent="0.25">
      <c r="A118" s="36"/>
      <c r="B118" s="17" t="s">
        <v>531</v>
      </c>
      <c r="C118" s="41" t="s">
        <v>532</v>
      </c>
      <c r="D118" s="41" t="s">
        <v>526</v>
      </c>
    </row>
    <row r="119" spans="1:4" ht="15" customHeight="1" x14ac:dyDescent="0.25">
      <c r="A119" s="36"/>
      <c r="B119" s="17" t="s">
        <v>533</v>
      </c>
      <c r="C119" s="41" t="s">
        <v>534</v>
      </c>
      <c r="D119" s="41" t="s">
        <v>526</v>
      </c>
    </row>
    <row r="120" spans="1:4" ht="15" customHeight="1" x14ac:dyDescent="0.25">
      <c r="A120" s="36"/>
      <c r="B120" s="17" t="s">
        <v>535</v>
      </c>
      <c r="C120" s="41" t="s">
        <v>536</v>
      </c>
      <c r="D120" s="41" t="s">
        <v>526</v>
      </c>
    </row>
    <row r="121" spans="1:4" ht="15" customHeight="1" x14ac:dyDescent="0.25">
      <c r="A121" s="36"/>
      <c r="B121" s="50"/>
      <c r="C121" s="54"/>
      <c r="D121" s="54"/>
    </row>
    <row r="122" spans="1:4" ht="15" customHeight="1" x14ac:dyDescent="0.25">
      <c r="A122" s="36"/>
      <c r="B122" s="17" t="s">
        <v>537</v>
      </c>
      <c r="C122" s="41" t="s">
        <v>538</v>
      </c>
      <c r="D122" s="41" t="s">
        <v>539</v>
      </c>
    </row>
    <row r="123" spans="1:4" ht="15" customHeight="1" x14ac:dyDescent="0.25">
      <c r="A123" s="36"/>
      <c r="B123" s="17" t="s">
        <v>540</v>
      </c>
      <c r="C123" s="41" t="s">
        <v>541</v>
      </c>
      <c r="D123" s="41" t="s">
        <v>539</v>
      </c>
    </row>
    <row r="124" spans="1:4" ht="15" customHeight="1" x14ac:dyDescent="0.25">
      <c r="A124" s="36"/>
      <c r="B124" s="17" t="s">
        <v>542</v>
      </c>
      <c r="C124" s="41" t="s">
        <v>543</v>
      </c>
      <c r="D124" s="41" t="s">
        <v>539</v>
      </c>
    </row>
    <row r="125" spans="1:4" ht="15" customHeight="1" x14ac:dyDescent="0.25">
      <c r="A125" s="36"/>
      <c r="B125" s="50"/>
      <c r="C125" s="54"/>
      <c r="D125" s="54"/>
    </row>
    <row r="126" spans="1:4" ht="15" customHeight="1" x14ac:dyDescent="0.25">
      <c r="A126" s="37"/>
      <c r="B126" s="17" t="s">
        <v>544</v>
      </c>
      <c r="C126" s="41" t="s">
        <v>545</v>
      </c>
      <c r="D126" s="41" t="s">
        <v>546</v>
      </c>
    </row>
    <row r="127" spans="1:4" ht="15" customHeight="1" x14ac:dyDescent="0.25">
      <c r="A127" s="37"/>
      <c r="B127" s="17" t="s">
        <v>547</v>
      </c>
      <c r="C127" s="41" t="s">
        <v>548</v>
      </c>
      <c r="D127" s="41" t="s">
        <v>546</v>
      </c>
    </row>
    <row r="128" spans="1:4" ht="15" customHeight="1" x14ac:dyDescent="0.25">
      <c r="A128" s="37"/>
      <c r="B128" s="17" t="s">
        <v>549</v>
      </c>
      <c r="C128" s="41" t="s">
        <v>550</v>
      </c>
      <c r="D128" s="41" t="s">
        <v>546</v>
      </c>
    </row>
    <row r="129" spans="1:4" ht="15" customHeight="1" x14ac:dyDescent="0.25">
      <c r="A129" s="37"/>
      <c r="B129" s="50"/>
      <c r="C129" s="54"/>
      <c r="D129" s="54"/>
    </row>
    <row r="130" spans="1:4" ht="15" customHeight="1" x14ac:dyDescent="0.25">
      <c r="A130" s="36"/>
      <c r="B130" s="42" t="s">
        <v>551</v>
      </c>
      <c r="C130" s="41" t="s">
        <v>552</v>
      </c>
      <c r="D130" s="41" t="s">
        <v>553</v>
      </c>
    </row>
    <row r="131" spans="1:4" ht="15" customHeight="1" x14ac:dyDescent="0.25">
      <c r="A131" s="36"/>
      <c r="B131" s="42" t="s">
        <v>554</v>
      </c>
      <c r="C131" s="41" t="s">
        <v>555</v>
      </c>
      <c r="D131" s="41" t="s">
        <v>553</v>
      </c>
    </row>
    <row r="132" spans="1:4" ht="15" customHeight="1" x14ac:dyDescent="0.25">
      <c r="A132" s="36"/>
      <c r="B132" s="42" t="s">
        <v>556</v>
      </c>
      <c r="C132" s="41" t="s">
        <v>557</v>
      </c>
      <c r="D132" s="41" t="s">
        <v>553</v>
      </c>
    </row>
    <row r="133" spans="1:4" ht="15" customHeight="1" x14ac:dyDescent="0.25">
      <c r="A133" s="36"/>
      <c r="B133" s="42" t="s">
        <v>558</v>
      </c>
      <c r="C133" s="41" t="s">
        <v>559</v>
      </c>
      <c r="D133" s="41" t="s">
        <v>553</v>
      </c>
    </row>
    <row r="134" spans="1:4" ht="15" customHeight="1" x14ac:dyDescent="0.25">
      <c r="A134" s="36"/>
      <c r="B134" s="42" t="s">
        <v>560</v>
      </c>
      <c r="C134" s="41" t="s">
        <v>561</v>
      </c>
      <c r="D134" s="41" t="s">
        <v>553</v>
      </c>
    </row>
    <row r="135" spans="1:4" ht="15" customHeight="1" x14ac:dyDescent="0.25">
      <c r="A135" s="36"/>
      <c r="B135" s="42" t="s">
        <v>562</v>
      </c>
      <c r="C135" s="41" t="s">
        <v>563</v>
      </c>
      <c r="D135" s="41" t="s">
        <v>553</v>
      </c>
    </row>
    <row r="136" spans="1:4" ht="15" customHeight="1" x14ac:dyDescent="0.25">
      <c r="A136" s="36"/>
      <c r="B136" s="42" t="s">
        <v>564</v>
      </c>
      <c r="C136" s="41" t="s">
        <v>565</v>
      </c>
      <c r="D136" s="41" t="s">
        <v>553</v>
      </c>
    </row>
    <row r="137" spans="1:4" ht="15" customHeight="1" x14ac:dyDescent="0.25">
      <c r="A137" s="36"/>
      <c r="B137" s="42" t="s">
        <v>566</v>
      </c>
      <c r="C137" s="41" t="s">
        <v>567</v>
      </c>
      <c r="D137" s="41" t="s">
        <v>553</v>
      </c>
    </row>
    <row r="138" spans="1:4" ht="15" customHeight="1" x14ac:dyDescent="0.25">
      <c r="A138" s="36"/>
      <c r="B138" s="42" t="s">
        <v>568</v>
      </c>
      <c r="C138" s="41" t="s">
        <v>569</v>
      </c>
      <c r="D138" s="41" t="s">
        <v>553</v>
      </c>
    </row>
    <row r="139" spans="1:4" ht="15" customHeight="1" x14ac:dyDescent="0.25">
      <c r="A139" s="37"/>
      <c r="B139" s="17" t="s">
        <v>570</v>
      </c>
      <c r="C139" s="41" t="s">
        <v>571</v>
      </c>
      <c r="D139" s="41" t="s">
        <v>553</v>
      </c>
    </row>
    <row r="140" spans="1:4" ht="15" customHeight="1" x14ac:dyDescent="0.25">
      <c r="A140" s="37"/>
      <c r="B140" s="17" t="s">
        <v>572</v>
      </c>
      <c r="C140" s="41" t="s">
        <v>573</v>
      </c>
      <c r="D140" s="41" t="s">
        <v>553</v>
      </c>
    </row>
    <row r="141" spans="1:4" ht="15" customHeight="1" x14ac:dyDescent="0.25">
      <c r="A141" s="37"/>
      <c r="B141" s="17" t="s">
        <v>574</v>
      </c>
      <c r="C141" s="41" t="s">
        <v>575</v>
      </c>
      <c r="D141" s="41" t="s">
        <v>553</v>
      </c>
    </row>
    <row r="142" spans="1:4" ht="15" customHeight="1" x14ac:dyDescent="0.25">
      <c r="A142" s="37"/>
      <c r="B142" s="50"/>
      <c r="C142" s="54"/>
      <c r="D142" s="54"/>
    </row>
    <row r="143" spans="1:4" ht="15" customHeight="1" x14ac:dyDescent="0.25">
      <c r="A143" s="37"/>
      <c r="B143" s="17" t="s">
        <v>576</v>
      </c>
      <c r="C143" s="41" t="s">
        <v>577</v>
      </c>
      <c r="D143" s="41" t="s">
        <v>578</v>
      </c>
    </row>
    <row r="144" spans="1:4" ht="15" customHeight="1" x14ac:dyDescent="0.25">
      <c r="A144" s="37"/>
      <c r="B144" s="17" t="s">
        <v>579</v>
      </c>
      <c r="C144" s="41" t="s">
        <v>580</v>
      </c>
      <c r="D144" s="41" t="s">
        <v>578</v>
      </c>
    </row>
    <row r="145" spans="1:4" ht="15" customHeight="1" x14ac:dyDescent="0.25">
      <c r="A145" s="37"/>
      <c r="B145" s="17" t="s">
        <v>581</v>
      </c>
      <c r="C145" s="41" t="s">
        <v>582</v>
      </c>
      <c r="D145" s="41" t="s">
        <v>578</v>
      </c>
    </row>
    <row r="146" spans="1:4" ht="15" customHeight="1" x14ac:dyDescent="0.25">
      <c r="A146" s="37"/>
      <c r="B146" s="50"/>
      <c r="C146" s="54"/>
      <c r="D146" s="54"/>
    </row>
    <row r="147" spans="1:4" ht="15" customHeight="1" x14ac:dyDescent="0.25">
      <c r="A147" s="36"/>
      <c r="B147" s="17" t="s">
        <v>583</v>
      </c>
      <c r="C147" s="41" t="s">
        <v>584</v>
      </c>
      <c r="D147" s="41" t="s">
        <v>585</v>
      </c>
    </row>
    <row r="148" spans="1:4" ht="15" customHeight="1" x14ac:dyDescent="0.25">
      <c r="A148" s="36"/>
      <c r="B148" s="17" t="s">
        <v>586</v>
      </c>
      <c r="C148" s="41" t="s">
        <v>587</v>
      </c>
      <c r="D148" s="41" t="s">
        <v>585</v>
      </c>
    </row>
    <row r="149" spans="1:4" ht="15" customHeight="1" x14ac:dyDescent="0.25">
      <c r="A149" s="36"/>
      <c r="B149" s="17" t="s">
        <v>588</v>
      </c>
      <c r="C149" s="41" t="s">
        <v>589</v>
      </c>
      <c r="D149" s="41" t="s">
        <v>585</v>
      </c>
    </row>
    <row r="150" spans="1:4" ht="15" customHeight="1" x14ac:dyDescent="0.25">
      <c r="A150" s="36"/>
      <c r="B150" s="50"/>
      <c r="C150" s="54"/>
      <c r="D150" s="54"/>
    </row>
    <row r="151" spans="1:4" ht="15" customHeight="1" x14ac:dyDescent="0.25">
      <c r="A151" s="37"/>
      <c r="B151" s="17" t="s">
        <v>590</v>
      </c>
      <c r="C151" s="41" t="s">
        <v>591</v>
      </c>
      <c r="D151" s="41" t="s">
        <v>592</v>
      </c>
    </row>
    <row r="152" spans="1:4" ht="15" customHeight="1" x14ac:dyDescent="0.25">
      <c r="A152" s="37"/>
      <c r="B152" s="17" t="s">
        <v>593</v>
      </c>
      <c r="C152" s="41" t="s">
        <v>594</v>
      </c>
      <c r="D152" s="41" t="s">
        <v>592</v>
      </c>
    </row>
    <row r="153" spans="1:4" ht="15" customHeight="1" x14ac:dyDescent="0.25">
      <c r="A153" s="37"/>
      <c r="B153" s="17" t="s">
        <v>595</v>
      </c>
      <c r="C153" s="41" t="s">
        <v>596</v>
      </c>
      <c r="D153" s="41" t="s">
        <v>592</v>
      </c>
    </row>
    <row r="154" spans="1:4" ht="15" customHeight="1" x14ac:dyDescent="0.25">
      <c r="A154" s="37"/>
      <c r="B154" s="50"/>
      <c r="C154" s="54"/>
      <c r="D154" s="54"/>
    </row>
    <row r="155" spans="1:4" ht="15" customHeight="1" x14ac:dyDescent="0.25">
      <c r="A155" s="37"/>
      <c r="B155" s="17" t="s">
        <v>597</v>
      </c>
      <c r="C155" s="41" t="s">
        <v>598</v>
      </c>
      <c r="D155" s="41" t="s">
        <v>599</v>
      </c>
    </row>
    <row r="156" spans="1:4" ht="15" customHeight="1" x14ac:dyDescent="0.25">
      <c r="A156" s="37"/>
      <c r="B156" s="17" t="s">
        <v>600</v>
      </c>
      <c r="C156" s="41" t="s">
        <v>601</v>
      </c>
      <c r="D156" s="41" t="s">
        <v>599</v>
      </c>
    </row>
    <row r="157" spans="1:4" ht="15" customHeight="1" x14ac:dyDescent="0.25">
      <c r="A157" s="37"/>
      <c r="B157" s="17" t="s">
        <v>602</v>
      </c>
      <c r="C157" s="41" t="s">
        <v>603</v>
      </c>
      <c r="D157" s="41" t="s">
        <v>599</v>
      </c>
    </row>
    <row r="158" spans="1:4" ht="15" customHeight="1" x14ac:dyDescent="0.25">
      <c r="A158" s="37"/>
      <c r="B158" s="50"/>
      <c r="C158" s="54"/>
      <c r="D158" s="54"/>
    </row>
    <row r="159" spans="1:4" ht="15" customHeight="1" x14ac:dyDescent="0.25">
      <c r="A159" s="36"/>
      <c r="B159" s="17" t="s">
        <v>604</v>
      </c>
      <c r="C159" s="41" t="s">
        <v>605</v>
      </c>
      <c r="D159" s="41" t="s">
        <v>606</v>
      </c>
    </row>
    <row r="160" spans="1:4" ht="15" customHeight="1" x14ac:dyDescent="0.25">
      <c r="A160" s="36"/>
      <c r="B160" s="17" t="s">
        <v>607</v>
      </c>
      <c r="C160" s="41" t="s">
        <v>608</v>
      </c>
      <c r="D160" s="41" t="s">
        <v>606</v>
      </c>
    </row>
    <row r="161" spans="1:4" ht="15" customHeight="1" x14ac:dyDescent="0.25">
      <c r="A161" s="36"/>
      <c r="B161" s="17" t="s">
        <v>609</v>
      </c>
      <c r="C161" s="41" t="s">
        <v>610</v>
      </c>
      <c r="D161" s="41" t="s">
        <v>606</v>
      </c>
    </row>
    <row r="162" spans="1:4" ht="15" customHeight="1" thickBot="1" x14ac:dyDescent="0.3">
      <c r="A162" s="36"/>
      <c r="B162" s="18" t="s">
        <v>611</v>
      </c>
      <c r="C162" s="43" t="s">
        <v>612</v>
      </c>
      <c r="D162" s="41"/>
    </row>
    <row r="163" spans="1:4" ht="15" customHeight="1" thickTop="1" thickBot="1" x14ac:dyDescent="0.3">
      <c r="A163" s="36"/>
      <c r="B163" s="39"/>
      <c r="C163" s="44"/>
      <c r="D163" s="13"/>
    </row>
    <row r="164" spans="1:4" ht="15" customHeight="1" thickTop="1" thickBot="1" x14ac:dyDescent="0.3">
      <c r="A164" s="36"/>
      <c r="B164" s="15" t="s">
        <v>613</v>
      </c>
      <c r="C164" s="44"/>
      <c r="D164" s="13"/>
    </row>
    <row r="165" spans="1:4" ht="15" customHeight="1" thickTop="1" x14ac:dyDescent="0.25">
      <c r="A165" s="36"/>
      <c r="B165" s="16" t="s">
        <v>614</v>
      </c>
      <c r="C165" s="40" t="s">
        <v>615</v>
      </c>
      <c r="D165" s="40" t="s">
        <v>616</v>
      </c>
    </row>
    <row r="166" spans="1:4" ht="15" customHeight="1" x14ac:dyDescent="0.25">
      <c r="A166" s="36"/>
      <c r="B166" s="17" t="s">
        <v>617</v>
      </c>
      <c r="C166" s="41" t="s">
        <v>618</v>
      </c>
      <c r="D166" s="41" t="s">
        <v>616</v>
      </c>
    </row>
    <row r="167" spans="1:4" ht="15" customHeight="1" x14ac:dyDescent="0.25">
      <c r="A167" s="36"/>
      <c r="B167" s="17" t="s">
        <v>619</v>
      </c>
      <c r="C167" s="41" t="s">
        <v>620</v>
      </c>
      <c r="D167" s="41" t="s">
        <v>616</v>
      </c>
    </row>
    <row r="168" spans="1:4" ht="15" customHeight="1" x14ac:dyDescent="0.25">
      <c r="A168" s="36"/>
      <c r="B168" s="17" t="s">
        <v>621</v>
      </c>
      <c r="C168" s="41" t="s">
        <v>622</v>
      </c>
      <c r="D168" s="41" t="s">
        <v>616</v>
      </c>
    </row>
    <row r="169" spans="1:4" ht="15" customHeight="1" x14ac:dyDescent="0.25">
      <c r="A169" s="36"/>
      <c r="B169" s="17" t="s">
        <v>623</v>
      </c>
      <c r="C169" s="41" t="s">
        <v>624</v>
      </c>
      <c r="D169" s="41" t="s">
        <v>616</v>
      </c>
    </row>
    <row r="170" spans="1:4" ht="15" customHeight="1" x14ac:dyDescent="0.25">
      <c r="A170" s="36"/>
      <c r="B170" s="17" t="s">
        <v>625</v>
      </c>
      <c r="C170" s="41" t="s">
        <v>626</v>
      </c>
      <c r="D170" s="41" t="s">
        <v>616</v>
      </c>
    </row>
    <row r="171" spans="1:4" ht="15" customHeight="1" x14ac:dyDescent="0.25">
      <c r="A171" s="36"/>
      <c r="B171" s="17" t="s">
        <v>627</v>
      </c>
      <c r="C171" s="41" t="s">
        <v>628</v>
      </c>
      <c r="D171" s="41" t="s">
        <v>616</v>
      </c>
    </row>
    <row r="172" spans="1:4" ht="15" customHeight="1" x14ac:dyDescent="0.25">
      <c r="A172" s="36"/>
      <c r="B172" s="17" t="s">
        <v>629</v>
      </c>
      <c r="C172" s="41" t="s">
        <v>630</v>
      </c>
      <c r="D172" s="41" t="s">
        <v>616</v>
      </c>
    </row>
    <row r="173" spans="1:4" ht="15" customHeight="1" x14ac:dyDescent="0.25">
      <c r="A173" s="36"/>
      <c r="B173" s="17" t="s">
        <v>631</v>
      </c>
      <c r="C173" s="41" t="s">
        <v>632</v>
      </c>
      <c r="D173" s="41" t="s">
        <v>616</v>
      </c>
    </row>
    <row r="174" spans="1:4" ht="15" customHeight="1" x14ac:dyDescent="0.25">
      <c r="A174" s="36"/>
      <c r="B174" s="50"/>
      <c r="C174" s="54"/>
      <c r="D174" s="54"/>
    </row>
    <row r="175" spans="1:4" ht="15" customHeight="1" x14ac:dyDescent="0.25">
      <c r="A175" s="36"/>
      <c r="B175" s="17" t="s">
        <v>633</v>
      </c>
      <c r="C175" s="41" t="s">
        <v>634</v>
      </c>
      <c r="D175" s="41" t="s">
        <v>635</v>
      </c>
    </row>
    <row r="176" spans="1:4" ht="15" customHeight="1" x14ac:dyDescent="0.25">
      <c r="A176" s="36"/>
      <c r="B176" s="17" t="s">
        <v>636</v>
      </c>
      <c r="C176" s="41" t="s">
        <v>637</v>
      </c>
      <c r="D176" s="41" t="s">
        <v>635</v>
      </c>
    </row>
    <row r="177" spans="1:4" ht="15" customHeight="1" x14ac:dyDescent="0.25">
      <c r="A177" s="36"/>
      <c r="B177" s="17" t="s">
        <v>638</v>
      </c>
      <c r="C177" s="41" t="s">
        <v>639</v>
      </c>
      <c r="D177" s="41" t="s">
        <v>635</v>
      </c>
    </row>
    <row r="178" spans="1:4" ht="15" customHeight="1" x14ac:dyDescent="0.25">
      <c r="A178" s="36"/>
      <c r="B178" s="17" t="s">
        <v>640</v>
      </c>
      <c r="C178" s="41" t="s">
        <v>641</v>
      </c>
      <c r="D178" s="41" t="s">
        <v>635</v>
      </c>
    </row>
    <row r="179" spans="1:4" ht="15" customHeight="1" x14ac:dyDescent="0.25">
      <c r="A179" s="36"/>
      <c r="B179" s="17" t="s">
        <v>642</v>
      </c>
      <c r="C179" s="41" t="s">
        <v>643</v>
      </c>
      <c r="D179" s="41" t="s">
        <v>635</v>
      </c>
    </row>
    <row r="180" spans="1:4" ht="15" customHeight="1" x14ac:dyDescent="0.25">
      <c r="A180" s="36"/>
      <c r="B180" s="17" t="s">
        <v>644</v>
      </c>
      <c r="C180" s="41" t="s">
        <v>645</v>
      </c>
      <c r="D180" s="41" t="s">
        <v>635</v>
      </c>
    </row>
    <row r="181" spans="1:4" ht="15" customHeight="1" x14ac:dyDescent="0.25">
      <c r="A181" s="36"/>
      <c r="B181" s="17" t="s">
        <v>646</v>
      </c>
      <c r="C181" s="41" t="s">
        <v>647</v>
      </c>
      <c r="D181" s="41" t="s">
        <v>635</v>
      </c>
    </row>
    <row r="182" spans="1:4" ht="15" customHeight="1" x14ac:dyDescent="0.25">
      <c r="A182" s="36"/>
      <c r="B182" s="17" t="s">
        <v>648</v>
      </c>
      <c r="C182" s="41" t="s">
        <v>649</v>
      </c>
      <c r="D182" s="41" t="s">
        <v>635</v>
      </c>
    </row>
    <row r="183" spans="1:4" ht="15" customHeight="1" x14ac:dyDescent="0.25">
      <c r="A183" s="36"/>
      <c r="B183" s="17" t="s">
        <v>650</v>
      </c>
      <c r="C183" s="41" t="s">
        <v>651</v>
      </c>
      <c r="D183" s="41" t="s">
        <v>635</v>
      </c>
    </row>
    <row r="184" spans="1:4" ht="15" customHeight="1" x14ac:dyDescent="0.25">
      <c r="A184" s="36"/>
      <c r="B184" s="50"/>
      <c r="C184" s="54"/>
      <c r="D184" s="54"/>
    </row>
    <row r="185" spans="1:4" ht="15" customHeight="1" x14ac:dyDescent="0.25">
      <c r="A185" s="36"/>
      <c r="B185" s="17" t="s">
        <v>652</v>
      </c>
      <c r="C185" s="41" t="s">
        <v>653</v>
      </c>
      <c r="D185" s="41" t="s">
        <v>654</v>
      </c>
    </row>
    <row r="186" spans="1:4" ht="15" customHeight="1" x14ac:dyDescent="0.25">
      <c r="A186" s="36"/>
      <c r="B186" s="17" t="s">
        <v>655</v>
      </c>
      <c r="C186" s="41" t="s">
        <v>656</v>
      </c>
      <c r="D186" s="41" t="s">
        <v>654</v>
      </c>
    </row>
    <row r="187" spans="1:4" ht="15" customHeight="1" x14ac:dyDescent="0.25">
      <c r="A187" s="36"/>
      <c r="B187" s="17" t="s">
        <v>657</v>
      </c>
      <c r="C187" s="41" t="s">
        <v>658</v>
      </c>
      <c r="D187" s="41" t="s">
        <v>654</v>
      </c>
    </row>
    <row r="188" spans="1:4" ht="15" customHeight="1" thickBot="1" x14ac:dyDescent="0.3">
      <c r="A188" s="36"/>
      <c r="B188" s="18" t="s">
        <v>659</v>
      </c>
      <c r="C188" s="43" t="s">
        <v>660</v>
      </c>
      <c r="D188" s="41"/>
    </row>
    <row r="189" spans="1:4" ht="15" customHeight="1" thickTop="1" thickBot="1" x14ac:dyDescent="0.3">
      <c r="A189" s="36"/>
      <c r="B189" s="45"/>
      <c r="C189" s="44"/>
      <c r="D189" s="13"/>
    </row>
    <row r="190" spans="1:4" ht="15" customHeight="1" thickTop="1" thickBot="1" x14ac:dyDescent="0.3">
      <c r="A190" s="36"/>
      <c r="B190" s="15" t="s">
        <v>661</v>
      </c>
      <c r="C190" s="44"/>
      <c r="D190" s="13"/>
    </row>
    <row r="191" spans="1:4" ht="15" customHeight="1" thickTop="1" x14ac:dyDescent="0.25">
      <c r="A191" s="36"/>
      <c r="B191" s="16" t="s">
        <v>662</v>
      </c>
      <c r="C191" s="40" t="s">
        <v>663</v>
      </c>
      <c r="D191" s="40" t="s">
        <v>664</v>
      </c>
    </row>
    <row r="192" spans="1:4" ht="15" customHeight="1" x14ac:dyDescent="0.25">
      <c r="A192" s="36"/>
      <c r="B192" s="17" t="s">
        <v>665</v>
      </c>
      <c r="C192" s="41" t="s">
        <v>666</v>
      </c>
      <c r="D192" s="41" t="s">
        <v>664</v>
      </c>
    </row>
    <row r="193" spans="1:4" ht="15" customHeight="1" x14ac:dyDescent="0.25">
      <c r="A193" s="36"/>
      <c r="B193" s="17" t="s">
        <v>667</v>
      </c>
      <c r="C193" s="41" t="s">
        <v>668</v>
      </c>
      <c r="D193" s="41" t="s">
        <v>664</v>
      </c>
    </row>
    <row r="194" spans="1:4" ht="15" customHeight="1" x14ac:dyDescent="0.25">
      <c r="A194" s="36"/>
      <c r="B194" s="50"/>
      <c r="C194" s="54"/>
      <c r="D194" s="54"/>
    </row>
    <row r="195" spans="1:4" ht="15" customHeight="1" x14ac:dyDescent="0.25">
      <c r="A195" s="36"/>
      <c r="B195" s="17" t="s">
        <v>669</v>
      </c>
      <c r="C195" s="41" t="s">
        <v>670</v>
      </c>
      <c r="D195" s="41" t="s">
        <v>671</v>
      </c>
    </row>
    <row r="196" spans="1:4" ht="15" customHeight="1" x14ac:dyDescent="0.25">
      <c r="A196" s="36"/>
      <c r="B196" s="17" t="s">
        <v>672</v>
      </c>
      <c r="C196" s="41" t="s">
        <v>673</v>
      </c>
      <c r="D196" s="41" t="s">
        <v>671</v>
      </c>
    </row>
    <row r="197" spans="1:4" ht="15" customHeight="1" x14ac:dyDescent="0.25">
      <c r="A197" s="36"/>
      <c r="B197" s="17" t="s">
        <v>674</v>
      </c>
      <c r="C197" s="41" t="s">
        <v>675</v>
      </c>
      <c r="D197" s="41" t="s">
        <v>671</v>
      </c>
    </row>
    <row r="198" spans="1:4" ht="15" customHeight="1" x14ac:dyDescent="0.25">
      <c r="A198" s="36"/>
      <c r="B198" s="50"/>
      <c r="C198" s="54"/>
      <c r="D198" s="54"/>
    </row>
    <row r="199" spans="1:4" ht="15" customHeight="1" x14ac:dyDescent="0.25">
      <c r="A199" s="36"/>
      <c r="B199" s="17" t="s">
        <v>676</v>
      </c>
      <c r="C199" s="41" t="s">
        <v>677</v>
      </c>
      <c r="D199" s="41" t="s">
        <v>678</v>
      </c>
    </row>
    <row r="200" spans="1:4" ht="15" customHeight="1" x14ac:dyDescent="0.25">
      <c r="A200" s="36"/>
      <c r="B200" s="17" t="s">
        <v>679</v>
      </c>
      <c r="C200" s="41" t="s">
        <v>680</v>
      </c>
      <c r="D200" s="41" t="s">
        <v>678</v>
      </c>
    </row>
    <row r="201" spans="1:4" ht="15" customHeight="1" x14ac:dyDescent="0.25">
      <c r="A201" s="36"/>
      <c r="B201" s="17" t="s">
        <v>681</v>
      </c>
      <c r="C201" s="41" t="s">
        <v>682</v>
      </c>
      <c r="D201" s="41" t="s">
        <v>678</v>
      </c>
    </row>
    <row r="202" spans="1:4" ht="15" customHeight="1" x14ac:dyDescent="0.25">
      <c r="A202" s="36"/>
      <c r="B202" s="50"/>
      <c r="C202" s="54"/>
      <c r="D202" s="54"/>
    </row>
    <row r="203" spans="1:4" ht="15" customHeight="1" x14ac:dyDescent="0.25">
      <c r="A203" s="36"/>
      <c r="B203" s="17" t="s">
        <v>683</v>
      </c>
      <c r="C203" s="41" t="s">
        <v>684</v>
      </c>
      <c r="D203" s="41" t="s">
        <v>685</v>
      </c>
    </row>
    <row r="204" spans="1:4" ht="15" customHeight="1" x14ac:dyDescent="0.25">
      <c r="A204" s="36"/>
      <c r="B204" s="17" t="s">
        <v>686</v>
      </c>
      <c r="C204" s="41" t="s">
        <v>687</v>
      </c>
      <c r="D204" s="41" t="s">
        <v>685</v>
      </c>
    </row>
    <row r="205" spans="1:4" ht="15" customHeight="1" x14ac:dyDescent="0.25">
      <c r="A205" s="36"/>
      <c r="B205" s="17" t="s">
        <v>688</v>
      </c>
      <c r="C205" s="41" t="s">
        <v>689</v>
      </c>
      <c r="D205" s="41" t="s">
        <v>685</v>
      </c>
    </row>
    <row r="206" spans="1:4" ht="15" customHeight="1" x14ac:dyDescent="0.25">
      <c r="A206" s="36"/>
      <c r="B206" s="50"/>
      <c r="C206" s="54"/>
      <c r="D206" s="54"/>
    </row>
    <row r="207" spans="1:4" ht="15" customHeight="1" x14ac:dyDescent="0.25">
      <c r="A207" s="36"/>
      <c r="B207" s="17" t="s">
        <v>690</v>
      </c>
      <c r="C207" s="41" t="s">
        <v>691</v>
      </c>
      <c r="D207" s="41" t="s">
        <v>692</v>
      </c>
    </row>
    <row r="208" spans="1:4" ht="15" customHeight="1" x14ac:dyDescent="0.25">
      <c r="A208" s="36"/>
      <c r="B208" s="17" t="s">
        <v>693</v>
      </c>
      <c r="C208" s="41" t="s">
        <v>694</v>
      </c>
      <c r="D208" s="41" t="s">
        <v>692</v>
      </c>
    </row>
    <row r="209" spans="1:4" ht="15" customHeight="1" x14ac:dyDescent="0.25">
      <c r="A209" s="36"/>
      <c r="B209" s="17" t="s">
        <v>695</v>
      </c>
      <c r="C209" s="41" t="s">
        <v>696</v>
      </c>
      <c r="D209" s="41" t="s">
        <v>692</v>
      </c>
    </row>
    <row r="210" spans="1:4" ht="15" customHeight="1" x14ac:dyDescent="0.25">
      <c r="A210" s="36"/>
      <c r="B210" s="50"/>
      <c r="C210" s="54"/>
      <c r="D210" s="54"/>
    </row>
    <row r="211" spans="1:4" ht="15" customHeight="1" x14ac:dyDescent="0.25">
      <c r="A211" s="36"/>
      <c r="B211" s="17" t="s">
        <v>697</v>
      </c>
      <c r="C211" s="41" t="s">
        <v>698</v>
      </c>
      <c r="D211" s="41" t="s">
        <v>699</v>
      </c>
    </row>
    <row r="212" spans="1:4" ht="15" customHeight="1" x14ac:dyDescent="0.25">
      <c r="A212" s="36"/>
      <c r="B212" s="17" t="s">
        <v>700</v>
      </c>
      <c r="C212" s="41" t="s">
        <v>701</v>
      </c>
      <c r="D212" s="41" t="s">
        <v>699</v>
      </c>
    </row>
    <row r="213" spans="1:4" ht="15" customHeight="1" x14ac:dyDescent="0.25">
      <c r="A213" s="36"/>
      <c r="B213" s="17" t="s">
        <v>702</v>
      </c>
      <c r="C213" s="41" t="s">
        <v>703</v>
      </c>
      <c r="D213" s="41" t="s">
        <v>699</v>
      </c>
    </row>
    <row r="214" spans="1:4" ht="15" customHeight="1" x14ac:dyDescent="0.25">
      <c r="A214" s="36"/>
      <c r="B214" s="50"/>
      <c r="C214" s="54"/>
      <c r="D214" s="54"/>
    </row>
    <row r="215" spans="1:4" ht="15" customHeight="1" x14ac:dyDescent="0.25">
      <c r="A215" s="36"/>
      <c r="B215" s="17" t="s">
        <v>704</v>
      </c>
      <c r="C215" s="41" t="s">
        <v>705</v>
      </c>
      <c r="D215" s="41" t="s">
        <v>706</v>
      </c>
    </row>
    <row r="216" spans="1:4" ht="15" customHeight="1" x14ac:dyDescent="0.25">
      <c r="A216" s="36"/>
      <c r="B216" s="17" t="s">
        <v>707</v>
      </c>
      <c r="C216" s="41" t="s">
        <v>708</v>
      </c>
      <c r="D216" s="41" t="s">
        <v>706</v>
      </c>
    </row>
    <row r="217" spans="1:4" ht="15" customHeight="1" x14ac:dyDescent="0.25">
      <c r="A217" s="36"/>
      <c r="B217" s="17" t="s">
        <v>709</v>
      </c>
      <c r="C217" s="41" t="s">
        <v>710</v>
      </c>
      <c r="D217" s="41" t="s">
        <v>706</v>
      </c>
    </row>
    <row r="218" spans="1:4" ht="15" customHeight="1" x14ac:dyDescent="0.25">
      <c r="A218" s="36"/>
      <c r="B218" s="17" t="s">
        <v>711</v>
      </c>
      <c r="C218" s="41" t="s">
        <v>712</v>
      </c>
      <c r="D218" s="41" t="s">
        <v>706</v>
      </c>
    </row>
    <row r="219" spans="1:4" ht="15" customHeight="1" x14ac:dyDescent="0.25">
      <c r="A219" s="36"/>
      <c r="B219" s="17" t="s">
        <v>713</v>
      </c>
      <c r="C219" s="41" t="s">
        <v>714</v>
      </c>
      <c r="D219" s="41" t="s">
        <v>706</v>
      </c>
    </row>
    <row r="220" spans="1:4" ht="15" customHeight="1" x14ac:dyDescent="0.25">
      <c r="A220" s="36"/>
      <c r="B220" s="17" t="s">
        <v>715</v>
      </c>
      <c r="C220" s="41" t="s">
        <v>716</v>
      </c>
      <c r="D220" s="41" t="s">
        <v>706</v>
      </c>
    </row>
    <row r="221" spans="1:4" ht="15" customHeight="1" x14ac:dyDescent="0.25">
      <c r="A221" s="36"/>
      <c r="B221" s="50"/>
      <c r="C221" s="54"/>
      <c r="D221" s="54"/>
    </row>
    <row r="222" spans="1:4" ht="15" customHeight="1" x14ac:dyDescent="0.25">
      <c r="A222" s="36"/>
      <c r="B222" s="17" t="s">
        <v>717</v>
      </c>
      <c r="C222" s="41" t="s">
        <v>718</v>
      </c>
      <c r="D222" s="41" t="s">
        <v>719</v>
      </c>
    </row>
    <row r="223" spans="1:4" ht="15" customHeight="1" x14ac:dyDescent="0.25">
      <c r="A223" s="36"/>
      <c r="B223" s="17" t="s">
        <v>720</v>
      </c>
      <c r="C223" s="41" t="s">
        <v>721</v>
      </c>
      <c r="D223" s="41" t="s">
        <v>719</v>
      </c>
    </row>
    <row r="224" spans="1:4" ht="15" customHeight="1" x14ac:dyDescent="0.25">
      <c r="A224" s="36"/>
      <c r="B224" s="17" t="s">
        <v>722</v>
      </c>
      <c r="C224" s="41" t="s">
        <v>723</v>
      </c>
      <c r="D224" s="41" t="s">
        <v>719</v>
      </c>
    </row>
    <row r="225" spans="1:4" ht="15" customHeight="1" thickBot="1" x14ac:dyDescent="0.3">
      <c r="A225" s="36"/>
      <c r="B225" s="18" t="s">
        <v>724</v>
      </c>
      <c r="C225" s="43" t="s">
        <v>725</v>
      </c>
      <c r="D225" s="41"/>
    </row>
    <row r="226" spans="1:4" ht="15" customHeight="1" thickTop="1" thickBot="1" x14ac:dyDescent="0.3">
      <c r="A226" s="36"/>
      <c r="B226" s="45"/>
      <c r="C226" s="44"/>
      <c r="D226" s="13"/>
    </row>
    <row r="227" spans="1:4" ht="15" customHeight="1" thickTop="1" thickBot="1" x14ac:dyDescent="0.3">
      <c r="A227" s="36"/>
      <c r="B227" s="46" t="s">
        <v>292</v>
      </c>
      <c r="C227" s="44"/>
      <c r="D227" s="13"/>
    </row>
    <row r="228" spans="1:4" ht="15" customHeight="1" thickTop="1" x14ac:dyDescent="0.25">
      <c r="A228" s="36"/>
      <c r="B228" s="47" t="s">
        <v>726</v>
      </c>
      <c r="C228" s="40" t="s">
        <v>727</v>
      </c>
      <c r="D228" s="40" t="s">
        <v>728</v>
      </c>
    </row>
    <row r="229" spans="1:4" ht="15" customHeight="1" x14ac:dyDescent="0.25">
      <c r="A229" s="36"/>
      <c r="B229" s="17" t="s">
        <v>729</v>
      </c>
      <c r="C229" s="41" t="s">
        <v>730</v>
      </c>
      <c r="D229" s="41" t="s">
        <v>728</v>
      </c>
    </row>
    <row r="230" spans="1:4" ht="15" customHeight="1" x14ac:dyDescent="0.25">
      <c r="A230" s="36"/>
      <c r="B230" s="50"/>
      <c r="C230" s="54"/>
      <c r="D230" s="54"/>
    </row>
    <row r="231" spans="1:4" ht="15" customHeight="1" x14ac:dyDescent="0.25">
      <c r="A231" s="36"/>
      <c r="B231" s="17" t="s">
        <v>731</v>
      </c>
      <c r="C231" s="41" t="s">
        <v>732</v>
      </c>
      <c r="D231" s="41" t="s">
        <v>733</v>
      </c>
    </row>
    <row r="232" spans="1:4" ht="15" customHeight="1" x14ac:dyDescent="0.25">
      <c r="A232" s="36"/>
      <c r="B232" s="17" t="s">
        <v>734</v>
      </c>
      <c r="C232" s="41" t="s">
        <v>735</v>
      </c>
      <c r="D232" s="41" t="s">
        <v>733</v>
      </c>
    </row>
    <row r="233" spans="1:4" ht="15" customHeight="1" x14ac:dyDescent="0.25">
      <c r="A233" s="36"/>
      <c r="B233" s="50"/>
      <c r="C233" s="54"/>
      <c r="D233" s="54"/>
    </row>
    <row r="234" spans="1:4" ht="15" customHeight="1" x14ac:dyDescent="0.25">
      <c r="A234" s="36"/>
      <c r="B234" s="17" t="s">
        <v>736</v>
      </c>
      <c r="C234" s="41" t="s">
        <v>737</v>
      </c>
      <c r="D234" s="41" t="s">
        <v>738</v>
      </c>
    </row>
    <row r="235" spans="1:4" ht="15" customHeight="1" x14ac:dyDescent="0.25">
      <c r="A235" s="36"/>
      <c r="B235" s="17" t="s">
        <v>739</v>
      </c>
      <c r="C235" s="41" t="s">
        <v>740</v>
      </c>
      <c r="D235" s="41" t="s">
        <v>738</v>
      </c>
    </row>
    <row r="236" spans="1:4" ht="15" customHeight="1" x14ac:dyDescent="0.25">
      <c r="A236" s="36"/>
      <c r="B236" s="50"/>
      <c r="C236" s="54"/>
      <c r="D236" s="54"/>
    </row>
    <row r="237" spans="1:4" ht="15" customHeight="1" x14ac:dyDescent="0.25">
      <c r="A237" s="36"/>
      <c r="B237" s="17" t="s">
        <v>741</v>
      </c>
      <c r="C237" s="41" t="s">
        <v>742</v>
      </c>
      <c r="D237" s="41" t="s">
        <v>743</v>
      </c>
    </row>
    <row r="238" spans="1:4" ht="15" customHeight="1" x14ac:dyDescent="0.25">
      <c r="A238" s="36"/>
      <c r="B238" s="17" t="s">
        <v>744</v>
      </c>
      <c r="C238" s="41" t="s">
        <v>745</v>
      </c>
      <c r="D238" s="41" t="s">
        <v>743</v>
      </c>
    </row>
    <row r="239" spans="1:4" ht="15" customHeight="1" x14ac:dyDescent="0.25">
      <c r="A239" s="36"/>
      <c r="B239" s="50"/>
      <c r="C239" s="54"/>
      <c r="D239" s="54"/>
    </row>
    <row r="240" spans="1:4" ht="15" customHeight="1" x14ac:dyDescent="0.25">
      <c r="A240" s="36"/>
      <c r="B240" s="17" t="s">
        <v>746</v>
      </c>
      <c r="C240" s="41" t="s">
        <v>747</v>
      </c>
      <c r="D240" s="41" t="s">
        <v>748</v>
      </c>
    </row>
    <row r="241" spans="1:4" ht="15" customHeight="1" x14ac:dyDescent="0.25">
      <c r="A241" s="36"/>
      <c r="B241" s="17" t="s">
        <v>749</v>
      </c>
      <c r="C241" s="41" t="s">
        <v>750</v>
      </c>
      <c r="D241" s="41" t="s">
        <v>748</v>
      </c>
    </row>
    <row r="242" spans="1:4" ht="15" customHeight="1" thickBot="1" x14ac:dyDescent="0.3">
      <c r="A242" s="36"/>
      <c r="B242" s="18" t="s">
        <v>751</v>
      </c>
      <c r="C242" s="43" t="s">
        <v>752</v>
      </c>
      <c r="D242" s="41"/>
    </row>
    <row r="243" spans="1:4" ht="15" customHeight="1" thickTop="1" thickBot="1" x14ac:dyDescent="0.35">
      <c r="A243" s="8"/>
      <c r="B243" s="8"/>
      <c r="C243" s="8"/>
      <c r="D243" s="8"/>
    </row>
    <row r="244" spans="1:4" ht="15" customHeight="1" thickTop="1" thickBot="1" x14ac:dyDescent="0.3">
      <c r="A244" s="36"/>
      <c r="B244" s="21" t="s">
        <v>724</v>
      </c>
      <c r="C244" s="48" t="s">
        <v>753</v>
      </c>
      <c r="D244" s="40"/>
    </row>
    <row r="245" spans="1:4" ht="15" customHeight="1" thickTop="1" thickBot="1" x14ac:dyDescent="0.3">
      <c r="A245" s="36"/>
      <c r="B245" s="45"/>
      <c r="C245" s="44"/>
      <c r="D245" s="13"/>
    </row>
    <row r="246" spans="1:4" ht="15" customHeight="1" thickTop="1" thickBot="1" x14ac:dyDescent="0.3">
      <c r="A246" s="36"/>
      <c r="B246" s="15" t="s">
        <v>320</v>
      </c>
      <c r="C246" s="44"/>
      <c r="D246" s="13"/>
    </row>
    <row r="247" spans="1:4" ht="15" customHeight="1" thickTop="1" x14ac:dyDescent="0.25">
      <c r="A247" s="36"/>
      <c r="B247" s="16" t="s">
        <v>754</v>
      </c>
      <c r="C247" s="40" t="s">
        <v>755</v>
      </c>
      <c r="D247" s="40"/>
    </row>
    <row r="248" spans="1:4" ht="15" customHeight="1" x14ac:dyDescent="0.25">
      <c r="A248" s="36"/>
      <c r="B248" s="17" t="s">
        <v>756</v>
      </c>
      <c r="C248" s="41" t="s">
        <v>757</v>
      </c>
      <c r="D248" s="41"/>
    </row>
    <row r="249" spans="1:4" ht="15" customHeight="1" thickBot="1" x14ac:dyDescent="0.3">
      <c r="A249" s="36"/>
      <c r="B249" s="18" t="s">
        <v>758</v>
      </c>
      <c r="C249" s="43" t="s">
        <v>759</v>
      </c>
      <c r="D249" s="41"/>
    </row>
    <row r="250" spans="1:4" ht="15" customHeight="1" thickTop="1" x14ac:dyDescent="0.3">
      <c r="A250" s="8"/>
      <c r="B250" s="8"/>
      <c r="C250" s="8"/>
      <c r="D250" s="8"/>
    </row>
    <row r="251" spans="1:4" ht="15" customHeight="1" x14ac:dyDescent="0.25"/>
  </sheetData>
  <autoFilter ref="A9:D9" xr:uid="{6895266A-D251-47D2-AB6F-5F59A4BD8227}"/>
  <mergeCells count="3">
    <mergeCell ref="C5:C7"/>
    <mergeCell ref="B5:B7"/>
    <mergeCell ref="D5:D7"/>
  </mergeCells>
  <phoneticPr fontId="4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C23B-EFBE-4D78-8B28-7207AB16C1C6}">
  <sheetPr>
    <tabColor rgb="FFB97BB4"/>
  </sheetPr>
  <dimension ref="A1"/>
  <sheetViews>
    <sheetView workbookViewId="0">
      <selection activeCell="F18" sqref="F18"/>
    </sheetView>
  </sheetViews>
  <sheetFormatPr defaultRowHeight="12.5"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21930-2CEC-438E-8594-AB079C2DBB5F}">
  <sheetPr>
    <tabColor rgb="FFB97BB4"/>
  </sheetPr>
  <dimension ref="A1:AG115"/>
  <sheetViews>
    <sheetView topLeftCell="A5" zoomScale="80" zoomScaleNormal="80" workbookViewId="0">
      <pane xSplit="2" ySplit="4" topLeftCell="P9" activePane="bottomRight" state="frozen"/>
      <selection pane="topRight"/>
      <selection pane="bottomLeft"/>
      <selection pane="bottomRight" activeCell="AB58" sqref="AB58"/>
    </sheetView>
  </sheetViews>
  <sheetFormatPr defaultRowHeight="12.5" x14ac:dyDescent="0.25"/>
  <cols>
    <col min="1" max="1" width="11.54296875" customWidth="1"/>
    <col min="2" max="2" width="46.26953125" customWidth="1"/>
    <col min="5" max="5" width="9.1796875" customWidth="1"/>
    <col min="6" max="6" width="14.1796875" customWidth="1"/>
    <col min="7" max="8" width="12.81640625" customWidth="1"/>
    <col min="9" max="9" width="10.453125" customWidth="1"/>
    <col min="10" max="14" width="9.1796875" customWidth="1"/>
    <col min="15" max="15" width="12.81640625" customWidth="1"/>
    <col min="16" max="16" width="12.453125" customWidth="1"/>
    <col min="17" max="20" width="9.1796875" customWidth="1"/>
    <col min="21" max="21" width="16.7265625" customWidth="1"/>
    <col min="22" max="22" width="14.81640625" customWidth="1"/>
    <col min="23" max="23" width="15.1796875" customWidth="1"/>
    <col min="24" max="24" width="15" customWidth="1"/>
    <col min="25" max="25" width="17.81640625" customWidth="1"/>
    <col min="26" max="26" width="17.26953125" customWidth="1"/>
    <col min="27" max="27" width="16.54296875" customWidth="1"/>
    <col min="28" max="28" width="17.81640625" customWidth="1"/>
    <col min="29" max="29" width="16.1796875" customWidth="1"/>
    <col min="30" max="30" width="12.453125" customWidth="1"/>
    <col min="31" max="31" width="9.1796875" customWidth="1"/>
    <col min="32" max="32" width="16" customWidth="1"/>
    <col min="33" max="33" width="32.81640625" customWidth="1"/>
  </cols>
  <sheetData>
    <row r="1" spans="1:33" ht="19" x14ac:dyDescent="0.4">
      <c r="A1" s="56"/>
      <c r="B1" s="210" t="s">
        <v>366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row>
    <row r="2" spans="1:33" ht="19" x14ac:dyDescent="0.4">
      <c r="A2" s="56"/>
      <c r="B2" s="210" t="s">
        <v>760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row>
    <row r="3" spans="1:33" ht="19" x14ac:dyDescent="0.25">
      <c r="A3" s="57"/>
      <c r="B3" s="211" t="s">
        <v>761</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row>
    <row r="4" spans="1:33" ht="14" x14ac:dyDescent="0.3">
      <c r="A4" s="207"/>
      <c r="B4" s="207"/>
      <c r="C4" s="212"/>
      <c r="D4" s="212"/>
      <c r="E4" s="58"/>
      <c r="F4" s="58"/>
      <c r="G4" s="58"/>
      <c r="H4" s="58"/>
      <c r="I4" s="58"/>
      <c r="J4" s="58"/>
      <c r="K4" s="58"/>
      <c r="L4" s="207"/>
      <c r="M4" s="207"/>
      <c r="N4" s="58"/>
      <c r="O4" s="58"/>
      <c r="P4" s="58"/>
      <c r="Q4" s="58"/>
      <c r="R4" s="58"/>
      <c r="S4" s="58"/>
      <c r="T4" s="207"/>
      <c r="U4" s="207"/>
      <c r="V4" s="58"/>
      <c r="W4" s="58"/>
      <c r="X4" s="58"/>
      <c r="Y4" s="58"/>
      <c r="Z4" s="58"/>
      <c r="AA4" s="58"/>
      <c r="AB4" s="58"/>
      <c r="AC4" s="58"/>
      <c r="AD4" s="58"/>
      <c r="AE4" s="58"/>
    </row>
    <row r="5" spans="1:33" ht="46.5" x14ac:dyDescent="0.35">
      <c r="A5" s="58"/>
      <c r="B5" s="199" t="s">
        <v>762</v>
      </c>
      <c r="C5" s="201" t="s">
        <v>763</v>
      </c>
      <c r="D5" s="201" t="s">
        <v>764</v>
      </c>
      <c r="E5" s="203" t="s">
        <v>765</v>
      </c>
      <c r="F5" s="204"/>
      <c r="G5" s="204"/>
      <c r="H5" s="204"/>
      <c r="I5" s="204"/>
      <c r="J5" s="204"/>
      <c r="K5" s="205"/>
      <c r="L5" s="60"/>
      <c r="M5" s="206" t="s">
        <v>766</v>
      </c>
      <c r="N5" s="204"/>
      <c r="O5" s="204"/>
      <c r="P5" s="204"/>
      <c r="Q5" s="204"/>
      <c r="R5" s="204"/>
      <c r="S5" s="205"/>
      <c r="T5" s="61"/>
      <c r="U5" s="62" t="s">
        <v>767</v>
      </c>
      <c r="V5" s="63" t="s">
        <v>768</v>
      </c>
      <c r="W5" s="63" t="s">
        <v>769</v>
      </c>
      <c r="X5" s="63">
        <v>1</v>
      </c>
      <c r="Y5" s="63" t="s">
        <v>770</v>
      </c>
      <c r="Z5" s="63" t="s">
        <v>771</v>
      </c>
      <c r="AA5" s="59" t="s">
        <v>772</v>
      </c>
      <c r="AB5" s="59" t="s">
        <v>773</v>
      </c>
      <c r="AC5" s="59" t="s">
        <v>774</v>
      </c>
      <c r="AD5" s="59" t="s">
        <v>775</v>
      </c>
      <c r="AE5" s="59" t="s">
        <v>776</v>
      </c>
      <c r="AF5" s="59" t="s">
        <v>777</v>
      </c>
      <c r="AG5" s="64" t="s">
        <v>778</v>
      </c>
    </row>
    <row r="6" spans="1:33" ht="109" thickBot="1" x14ac:dyDescent="0.4">
      <c r="A6" s="58"/>
      <c r="B6" s="200"/>
      <c r="C6" s="202"/>
      <c r="D6" s="202"/>
      <c r="E6" s="65" t="s">
        <v>779</v>
      </c>
      <c r="F6" s="65" t="s">
        <v>780</v>
      </c>
      <c r="G6" s="65" t="s">
        <v>781</v>
      </c>
      <c r="H6" s="65" t="s">
        <v>782</v>
      </c>
      <c r="I6" s="65" t="s">
        <v>783</v>
      </c>
      <c r="J6" s="65" t="s">
        <v>784</v>
      </c>
      <c r="K6" s="66" t="s">
        <v>785</v>
      </c>
      <c r="L6" s="67"/>
      <c r="M6" s="68" t="s">
        <v>779</v>
      </c>
      <c r="N6" s="65" t="s">
        <v>780</v>
      </c>
      <c r="O6" s="65" t="s">
        <v>781</v>
      </c>
      <c r="P6" s="65" t="s">
        <v>782</v>
      </c>
      <c r="Q6" s="65" t="s">
        <v>783</v>
      </c>
      <c r="R6" s="65" t="s">
        <v>784</v>
      </c>
      <c r="S6" s="66" t="s">
        <v>785</v>
      </c>
      <c r="T6" s="61"/>
      <c r="U6" s="68" t="s">
        <v>786</v>
      </c>
      <c r="V6" s="69" t="s">
        <v>787</v>
      </c>
      <c r="W6" s="69" t="s">
        <v>788</v>
      </c>
      <c r="X6" s="69" t="s">
        <v>789</v>
      </c>
      <c r="Y6" s="69" t="s">
        <v>790</v>
      </c>
      <c r="Z6" s="69" t="s">
        <v>791</v>
      </c>
      <c r="AA6" s="69" t="s">
        <v>792</v>
      </c>
      <c r="AB6" s="69" t="s">
        <v>793</v>
      </c>
      <c r="AC6" s="69" t="s">
        <v>794</v>
      </c>
      <c r="AD6" s="69" t="s">
        <v>795</v>
      </c>
      <c r="AE6" s="69" t="s">
        <v>796</v>
      </c>
      <c r="AF6" s="69" t="s">
        <v>797</v>
      </c>
      <c r="AG6" s="66" t="s">
        <v>798</v>
      </c>
    </row>
    <row r="7" spans="1:33" ht="16" thickTop="1" x14ac:dyDescent="0.35">
      <c r="A7" s="207"/>
      <c r="B7" s="207"/>
      <c r="C7" s="208"/>
      <c r="D7" s="208"/>
      <c r="E7" s="208"/>
      <c r="F7" s="70"/>
      <c r="G7" s="70"/>
      <c r="H7" s="70"/>
      <c r="I7" s="70"/>
      <c r="J7" s="70"/>
      <c r="K7" s="71"/>
      <c r="L7" s="209"/>
      <c r="M7" s="209"/>
      <c r="N7" s="61"/>
      <c r="O7" s="61"/>
      <c r="P7" s="61"/>
      <c r="Q7" s="61"/>
      <c r="R7" s="61"/>
      <c r="S7" s="61"/>
      <c r="T7" s="198"/>
      <c r="U7" s="198"/>
      <c r="V7" s="61"/>
      <c r="W7" s="61"/>
      <c r="X7" s="61"/>
      <c r="Y7" s="61"/>
      <c r="Z7" s="61"/>
      <c r="AA7" s="61"/>
      <c r="AB7" s="61"/>
      <c r="AC7" s="61"/>
      <c r="AD7" s="61"/>
      <c r="AE7" s="58"/>
    </row>
    <row r="8" spans="1:33" ht="15.75" customHeight="1" thickBot="1" x14ac:dyDescent="0.4">
      <c r="B8" s="58"/>
      <c r="C8" s="72"/>
      <c r="D8" s="72"/>
      <c r="E8" s="73"/>
      <c r="F8" s="73"/>
      <c r="G8" s="73"/>
      <c r="H8" s="73"/>
      <c r="I8" s="73"/>
      <c r="J8" s="73"/>
      <c r="K8" s="73"/>
      <c r="L8" s="73"/>
      <c r="M8" s="61"/>
      <c r="N8" s="61"/>
      <c r="O8" s="61"/>
      <c r="P8" s="61"/>
      <c r="Q8" s="61"/>
      <c r="R8" s="61"/>
      <c r="S8" s="61"/>
      <c r="T8" s="198"/>
      <c r="U8" s="198"/>
      <c r="V8" s="61"/>
      <c r="W8" s="61"/>
      <c r="X8" s="61"/>
      <c r="Y8" s="61"/>
      <c r="Z8" s="61"/>
      <c r="AA8" s="61"/>
      <c r="AB8" s="61"/>
      <c r="AC8" s="61"/>
      <c r="AD8" s="61"/>
      <c r="AE8" s="58"/>
    </row>
    <row r="9" spans="1:33" ht="21.5" thickTop="1" thickBot="1" x14ac:dyDescent="0.85">
      <c r="A9" t="s">
        <v>799</v>
      </c>
      <c r="B9" s="77" t="s">
        <v>800</v>
      </c>
      <c r="C9" s="74" t="s">
        <v>801</v>
      </c>
      <c r="D9" s="74">
        <v>3</v>
      </c>
      <c r="E9" s="161">
        <v>0</v>
      </c>
      <c r="F9" s="161">
        <v>9.4150109999999995E-2</v>
      </c>
      <c r="G9" s="161">
        <v>9.6391210000000005E-2</v>
      </c>
      <c r="H9" s="161">
        <v>2.1787250000000001E-2</v>
      </c>
      <c r="I9" s="161">
        <v>0</v>
      </c>
      <c r="J9" s="161">
        <v>0</v>
      </c>
      <c r="K9" s="163">
        <v>0</v>
      </c>
      <c r="L9" s="73"/>
      <c r="M9" s="164">
        <v>0</v>
      </c>
      <c r="N9" s="161">
        <v>0</v>
      </c>
      <c r="O9" s="161">
        <v>2.5760000000000001E-5</v>
      </c>
      <c r="P9" s="161">
        <v>6.4480000000000006E-5</v>
      </c>
      <c r="Q9" s="161">
        <v>7.7400000000000011E-5</v>
      </c>
      <c r="R9" s="161">
        <v>7.7400000000000011E-5</v>
      </c>
      <c r="S9" s="161">
        <v>7.7400000000000011E-5</v>
      </c>
      <c r="T9" s="61"/>
      <c r="U9" s="138"/>
      <c r="V9" s="94"/>
      <c r="W9" s="85"/>
      <c r="X9" s="90">
        <v>36</v>
      </c>
      <c r="Y9" s="93">
        <v>10</v>
      </c>
      <c r="Z9" s="107">
        <f t="shared" ref="Z9:Z40" si="0">SUM(AA9:AC9)</f>
        <v>170.70240000000001</v>
      </c>
      <c r="AA9" s="107">
        <v>12</v>
      </c>
      <c r="AB9" s="139"/>
      <c r="AC9" s="140">
        <f>(129.32*1.32)-AA9</f>
        <v>158.70240000000001</v>
      </c>
      <c r="AD9" s="105">
        <v>26</v>
      </c>
      <c r="AE9" s="98" t="s">
        <v>802</v>
      </c>
      <c r="AF9" s="111"/>
      <c r="AG9" s="77" t="s">
        <v>803</v>
      </c>
    </row>
    <row r="10" spans="1:33" ht="16.5" customHeight="1" thickTop="1" thickBot="1" x14ac:dyDescent="0.85">
      <c r="A10" t="s">
        <v>804</v>
      </c>
      <c r="B10" s="77" t="s">
        <v>805</v>
      </c>
      <c r="C10" s="75" t="s">
        <v>801</v>
      </c>
      <c r="D10" s="75">
        <v>3</v>
      </c>
      <c r="E10" s="133">
        <v>0</v>
      </c>
      <c r="F10" s="133">
        <v>8.239732000000001E-2</v>
      </c>
      <c r="G10" s="133">
        <v>7.9293849999999999E-2</v>
      </c>
      <c r="H10" s="133">
        <v>1.372452E-2</v>
      </c>
      <c r="I10" s="133">
        <v>0</v>
      </c>
      <c r="J10" s="162">
        <v>0</v>
      </c>
      <c r="K10" s="134">
        <v>0</v>
      </c>
      <c r="L10" s="73"/>
      <c r="M10" s="135">
        <v>0</v>
      </c>
      <c r="N10" s="133">
        <v>0</v>
      </c>
      <c r="O10" s="133">
        <v>0</v>
      </c>
      <c r="P10" s="133">
        <v>0</v>
      </c>
      <c r="Q10" s="133">
        <v>0</v>
      </c>
      <c r="R10" s="133">
        <v>0</v>
      </c>
      <c r="S10" s="134">
        <v>0</v>
      </c>
      <c r="T10" s="61"/>
      <c r="U10" s="159">
        <v>21</v>
      </c>
      <c r="V10" s="165">
        <v>18</v>
      </c>
      <c r="W10" s="85">
        <v>17</v>
      </c>
      <c r="X10" s="90">
        <v>365</v>
      </c>
      <c r="Y10" s="93">
        <v>10</v>
      </c>
      <c r="Z10" s="107">
        <f t="shared" si="0"/>
        <v>182.47680000000003</v>
      </c>
      <c r="AA10" s="141"/>
      <c r="AB10" s="171"/>
      <c r="AC10" s="173">
        <f>138.24*1.32</f>
        <v>182.47680000000003</v>
      </c>
      <c r="AD10" s="105">
        <v>7.5</v>
      </c>
      <c r="AE10" s="98"/>
      <c r="AF10" s="112"/>
      <c r="AG10" s="77" t="s">
        <v>803</v>
      </c>
    </row>
    <row r="11" spans="1:33" ht="16.5" customHeight="1" thickTop="1" thickBot="1" x14ac:dyDescent="0.85">
      <c r="A11" t="s">
        <v>806</v>
      </c>
      <c r="B11" s="77" t="s">
        <v>807</v>
      </c>
      <c r="C11" s="75" t="s">
        <v>801</v>
      </c>
      <c r="D11" s="75">
        <v>3</v>
      </c>
      <c r="E11" s="133">
        <v>0</v>
      </c>
      <c r="F11" s="133">
        <v>1.649012E-2</v>
      </c>
      <c r="G11" s="133">
        <v>1.25289E-3</v>
      </c>
      <c r="H11" s="133">
        <v>0</v>
      </c>
      <c r="I11" s="133">
        <v>0</v>
      </c>
      <c r="J11" s="133">
        <v>0</v>
      </c>
      <c r="K11" s="134">
        <v>0</v>
      </c>
      <c r="L11" s="73"/>
      <c r="M11" s="135">
        <v>0</v>
      </c>
      <c r="N11" s="133">
        <v>0</v>
      </c>
      <c r="O11" s="133">
        <v>0</v>
      </c>
      <c r="P11" s="133">
        <v>0</v>
      </c>
      <c r="Q11" s="133">
        <v>0</v>
      </c>
      <c r="R11" s="133">
        <v>0</v>
      </c>
      <c r="S11" s="133">
        <v>0</v>
      </c>
      <c r="T11" s="61"/>
      <c r="U11" s="138"/>
      <c r="V11" s="94"/>
      <c r="W11" s="85"/>
      <c r="X11" s="90">
        <v>12</v>
      </c>
      <c r="Y11" s="93">
        <v>10</v>
      </c>
      <c r="Z11" s="107">
        <f t="shared" si="0"/>
        <v>2.64</v>
      </c>
      <c r="AA11" s="107">
        <f>2.64</f>
        <v>2.64</v>
      </c>
      <c r="AB11" s="171"/>
      <c r="AC11" s="173"/>
      <c r="AD11" s="105">
        <v>2</v>
      </c>
      <c r="AE11" s="98" t="s">
        <v>802</v>
      </c>
      <c r="AF11" s="111"/>
      <c r="AG11" s="77" t="s">
        <v>803</v>
      </c>
    </row>
    <row r="12" spans="1:33" ht="16.5" customHeight="1" thickTop="1" thickBot="1" x14ac:dyDescent="0.85">
      <c r="A12" s="152" t="s">
        <v>808</v>
      </c>
      <c r="B12" s="153" t="s">
        <v>809</v>
      </c>
      <c r="C12" s="75" t="s">
        <v>801</v>
      </c>
      <c r="D12" s="75">
        <v>3</v>
      </c>
      <c r="E12" s="147">
        <v>2.6417714400000003</v>
      </c>
      <c r="F12" s="147">
        <v>1.9135824050000001</v>
      </c>
      <c r="G12" s="147">
        <v>1.9135824050000001</v>
      </c>
      <c r="H12" s="147">
        <v>0</v>
      </c>
      <c r="I12" s="147">
        <v>0</v>
      </c>
      <c r="J12" s="150">
        <v>0</v>
      </c>
      <c r="K12" s="148">
        <v>0</v>
      </c>
      <c r="L12" s="151"/>
      <c r="M12" s="149">
        <v>0</v>
      </c>
      <c r="N12" s="147">
        <v>0</v>
      </c>
      <c r="O12" s="147">
        <v>0</v>
      </c>
      <c r="P12" s="147">
        <v>0.24833986799999999</v>
      </c>
      <c r="Q12" s="147">
        <v>0.248339952</v>
      </c>
      <c r="R12" s="147">
        <v>0.248339952</v>
      </c>
      <c r="S12" s="148">
        <v>0.248339952</v>
      </c>
      <c r="T12" s="61"/>
      <c r="U12" s="144">
        <v>21</v>
      </c>
      <c r="V12" s="94">
        <v>40</v>
      </c>
      <c r="W12" s="85">
        <v>34</v>
      </c>
      <c r="X12" s="90">
        <v>32</v>
      </c>
      <c r="Y12" s="93">
        <v>10</v>
      </c>
      <c r="Z12" s="107">
        <f t="shared" si="0"/>
        <v>12060</v>
      </c>
      <c r="AA12" s="168">
        <f>2010*6</f>
        <v>12060</v>
      </c>
      <c r="AB12" s="171"/>
      <c r="AC12" s="173"/>
      <c r="AD12" s="105">
        <v>27</v>
      </c>
      <c r="AE12" s="98"/>
      <c r="AF12" s="85"/>
      <c r="AG12" s="77" t="s">
        <v>803</v>
      </c>
    </row>
    <row r="13" spans="1:33" ht="16.5" customHeight="1" thickTop="1" thickBot="1" x14ac:dyDescent="0.85">
      <c r="A13" t="s">
        <v>810</v>
      </c>
      <c r="B13" s="77" t="s">
        <v>811</v>
      </c>
      <c r="C13" s="75" t="s">
        <v>801</v>
      </c>
      <c r="D13" s="75">
        <v>3</v>
      </c>
      <c r="E13" s="133">
        <v>0</v>
      </c>
      <c r="F13" s="133">
        <v>0.12708791</v>
      </c>
      <c r="G13" s="133">
        <v>0.13913448</v>
      </c>
      <c r="H13" s="133">
        <v>3.8761280000000002E-2</v>
      </c>
      <c r="I13" s="133">
        <v>0</v>
      </c>
      <c r="J13" s="133">
        <v>0</v>
      </c>
      <c r="K13" s="134">
        <v>0</v>
      </c>
      <c r="M13" s="135">
        <v>0</v>
      </c>
      <c r="N13" s="133">
        <v>0</v>
      </c>
      <c r="O13" s="133">
        <v>6.7760000000000002E-5</v>
      </c>
      <c r="P13" s="133">
        <v>1.8391999999999999E-4</v>
      </c>
      <c r="Q13" s="133">
        <v>2.3232E-4</v>
      </c>
      <c r="R13" s="133">
        <v>2.3232E-4</v>
      </c>
      <c r="S13" s="134">
        <v>2.3232E-4</v>
      </c>
      <c r="U13" s="80"/>
      <c r="V13" s="94"/>
      <c r="W13" s="85"/>
      <c r="X13" s="90">
        <v>38</v>
      </c>
      <c r="Y13" s="93">
        <v>10</v>
      </c>
      <c r="Z13" s="107">
        <f t="shared" si="0"/>
        <v>114.04800000000002</v>
      </c>
      <c r="AA13" s="167">
        <v>36</v>
      </c>
      <c r="AB13" s="170"/>
      <c r="AC13" s="143">
        <f>(86.4*1.32)-AA13</f>
        <v>78.048000000000016</v>
      </c>
      <c r="AD13" s="105">
        <v>28</v>
      </c>
      <c r="AE13" s="98" t="s">
        <v>802</v>
      </c>
      <c r="AF13" s="112"/>
      <c r="AG13" s="77" t="s">
        <v>803</v>
      </c>
    </row>
    <row r="14" spans="1:33" ht="21.5" thickTop="1" thickBot="1" x14ac:dyDescent="0.85">
      <c r="A14" t="s">
        <v>812</v>
      </c>
      <c r="B14" s="81" t="s">
        <v>813</v>
      </c>
      <c r="C14" s="79" t="s">
        <v>801</v>
      </c>
      <c r="D14" s="79">
        <v>3</v>
      </c>
      <c r="E14" s="133">
        <v>0</v>
      </c>
      <c r="F14" s="133">
        <v>0.20575442000000002</v>
      </c>
      <c r="G14" s="133">
        <v>0.29424309999999998</v>
      </c>
      <c r="H14" s="133">
        <v>0.14763579000000002</v>
      </c>
      <c r="I14" s="133">
        <v>0</v>
      </c>
      <c r="J14" s="133">
        <v>0</v>
      </c>
      <c r="K14" s="134">
        <v>0</v>
      </c>
      <c r="M14" s="135">
        <v>0</v>
      </c>
      <c r="N14" s="133">
        <v>0</v>
      </c>
      <c r="O14" s="133">
        <v>3.6726E-4</v>
      </c>
      <c r="P14" s="133">
        <v>1.83633E-3</v>
      </c>
      <c r="Q14" s="133">
        <v>2.9381999999999998E-3</v>
      </c>
      <c r="R14" s="133">
        <v>2.9381999999999998E-3</v>
      </c>
      <c r="S14" s="134">
        <v>2.9381999999999998E-3</v>
      </c>
      <c r="U14" s="90">
        <v>12</v>
      </c>
      <c r="V14" s="94">
        <v>14</v>
      </c>
      <c r="W14" s="85">
        <v>19</v>
      </c>
      <c r="X14" s="85">
        <v>0</v>
      </c>
      <c r="Y14" s="93">
        <v>10</v>
      </c>
      <c r="Z14" s="107">
        <f t="shared" si="0"/>
        <v>120</v>
      </c>
      <c r="AA14" s="166">
        <v>120</v>
      </c>
      <c r="AB14" s="80"/>
      <c r="AC14" s="172"/>
      <c r="AD14" s="105">
        <v>14.5</v>
      </c>
      <c r="AE14" s="98" t="s">
        <v>802</v>
      </c>
      <c r="AF14" s="113">
        <v>2</v>
      </c>
      <c r="AG14" s="77" t="s">
        <v>814</v>
      </c>
    </row>
    <row r="15" spans="1:33" ht="16.5" customHeight="1" thickTop="1" thickBot="1" x14ac:dyDescent="0.85">
      <c r="A15" t="s">
        <v>815</v>
      </c>
      <c r="B15" s="81" t="s">
        <v>816</v>
      </c>
      <c r="C15" s="79" t="s">
        <v>801</v>
      </c>
      <c r="D15" s="79">
        <v>3</v>
      </c>
      <c r="E15" s="133">
        <v>0</v>
      </c>
      <c r="F15" s="133">
        <v>0.20575442000000002</v>
      </c>
      <c r="G15" s="133">
        <v>0.29424309999999998</v>
      </c>
      <c r="H15" s="133">
        <v>0.14763579000000002</v>
      </c>
      <c r="I15" s="133">
        <v>0</v>
      </c>
      <c r="J15" s="133">
        <v>0</v>
      </c>
      <c r="K15" s="134">
        <v>0</v>
      </c>
      <c r="M15" s="135">
        <v>0</v>
      </c>
      <c r="N15" s="133">
        <v>0</v>
      </c>
      <c r="O15" s="133">
        <v>3.6726E-4</v>
      </c>
      <c r="P15" s="133">
        <v>1.83633E-3</v>
      </c>
      <c r="Q15" s="133">
        <v>2.9381999999999998E-3</v>
      </c>
      <c r="R15" s="133">
        <v>2.9381999999999998E-3</v>
      </c>
      <c r="S15" s="134">
        <v>2.9381999999999998E-3</v>
      </c>
      <c r="U15" s="90">
        <v>187</v>
      </c>
      <c r="V15" s="94">
        <v>16</v>
      </c>
      <c r="W15" s="85">
        <v>12</v>
      </c>
      <c r="X15" s="90">
        <v>4</v>
      </c>
      <c r="Y15" s="93">
        <v>10</v>
      </c>
      <c r="Z15" s="107">
        <f t="shared" si="0"/>
        <v>120</v>
      </c>
      <c r="AA15" s="109">
        <v>120</v>
      </c>
      <c r="AB15" s="80"/>
      <c r="AC15" s="80"/>
      <c r="AD15" s="105">
        <v>12</v>
      </c>
      <c r="AE15" s="98" t="s">
        <v>802</v>
      </c>
      <c r="AF15" s="113">
        <v>2</v>
      </c>
      <c r="AG15" s="77" t="s">
        <v>814</v>
      </c>
    </row>
    <row r="16" spans="1:33" ht="16.5" customHeight="1" thickTop="1" thickBot="1" x14ac:dyDescent="0.85">
      <c r="A16" t="s">
        <v>817</v>
      </c>
      <c r="B16" s="81" t="s">
        <v>818</v>
      </c>
      <c r="C16" s="79" t="s">
        <v>801</v>
      </c>
      <c r="D16" s="79">
        <v>3</v>
      </c>
      <c r="E16" s="133">
        <v>0</v>
      </c>
      <c r="F16" s="133">
        <v>0</v>
      </c>
      <c r="G16" s="133">
        <v>1.3045301299999998</v>
      </c>
      <c r="H16" s="133">
        <v>4.4860745399999997</v>
      </c>
      <c r="I16" s="133">
        <v>8.0390583699999993</v>
      </c>
      <c r="J16" s="133">
        <v>5.8304951599999999</v>
      </c>
      <c r="K16" s="134">
        <v>0</v>
      </c>
      <c r="M16" s="135">
        <v>0</v>
      </c>
      <c r="N16" s="133">
        <v>0</v>
      </c>
      <c r="O16" s="133">
        <v>0</v>
      </c>
      <c r="P16" s="133">
        <v>0</v>
      </c>
      <c r="Q16" s="133">
        <v>0</v>
      </c>
      <c r="R16" s="133">
        <v>6.5324399999999996E-3</v>
      </c>
      <c r="S16" s="134">
        <v>1.3064879999999999E-2</v>
      </c>
      <c r="U16" s="90"/>
      <c r="V16" s="94">
        <v>10</v>
      </c>
      <c r="W16" s="85">
        <v>5</v>
      </c>
      <c r="X16" s="85">
        <v>4</v>
      </c>
      <c r="Y16" s="93">
        <v>10</v>
      </c>
      <c r="Z16" s="107">
        <f t="shared" si="0"/>
        <v>5323</v>
      </c>
      <c r="AA16" s="107">
        <f>1064.6*2</f>
        <v>2129.1999999999998</v>
      </c>
      <c r="AB16" s="80"/>
      <c r="AC16" s="109">
        <f>5323-AA16</f>
        <v>3193.8</v>
      </c>
      <c r="AD16" s="105">
        <v>5.5</v>
      </c>
      <c r="AE16" s="98" t="s">
        <v>802</v>
      </c>
      <c r="AF16" s="113">
        <v>2</v>
      </c>
      <c r="AG16" s="77" t="s">
        <v>803</v>
      </c>
    </row>
    <row r="17" spans="1:33" ht="16.5" customHeight="1" thickTop="1" thickBot="1" x14ac:dyDescent="0.85">
      <c r="A17" t="s">
        <v>819</v>
      </c>
      <c r="B17" s="81" t="s">
        <v>820</v>
      </c>
      <c r="C17" s="79" t="s">
        <v>801</v>
      </c>
      <c r="D17" s="79">
        <v>3</v>
      </c>
      <c r="E17" s="133">
        <v>0</v>
      </c>
      <c r="F17" s="133">
        <v>0.20575442000000002</v>
      </c>
      <c r="G17" s="133">
        <v>0.29424309999999998</v>
      </c>
      <c r="H17" s="133">
        <v>0.14763579000000002</v>
      </c>
      <c r="I17" s="133">
        <v>0</v>
      </c>
      <c r="J17" s="133">
        <v>0</v>
      </c>
      <c r="K17" s="134">
        <v>0</v>
      </c>
      <c r="M17" s="135">
        <v>0</v>
      </c>
      <c r="N17" s="133">
        <v>0</v>
      </c>
      <c r="O17" s="133">
        <v>3.6726E-4</v>
      </c>
      <c r="P17" s="133">
        <v>1.83633E-3</v>
      </c>
      <c r="Q17" s="133">
        <v>2.9381999999999998E-3</v>
      </c>
      <c r="R17" s="133">
        <v>2.9381999999999998E-3</v>
      </c>
      <c r="S17" s="134">
        <v>2.9381999999999998E-3</v>
      </c>
      <c r="U17" s="90">
        <v>1</v>
      </c>
      <c r="V17" s="94">
        <v>3</v>
      </c>
      <c r="W17" s="85">
        <v>28</v>
      </c>
      <c r="X17" s="85">
        <v>0</v>
      </c>
      <c r="Y17" s="93">
        <v>10</v>
      </c>
      <c r="Z17" s="107">
        <f t="shared" si="0"/>
        <v>120</v>
      </c>
      <c r="AA17" s="109">
        <v>120</v>
      </c>
      <c r="AB17" s="80"/>
      <c r="AC17" s="80"/>
      <c r="AD17" s="105">
        <v>13.5</v>
      </c>
      <c r="AE17" s="98" t="s">
        <v>802</v>
      </c>
      <c r="AF17" s="113">
        <v>2</v>
      </c>
      <c r="AG17" s="77" t="s">
        <v>814</v>
      </c>
    </row>
    <row r="18" spans="1:33" ht="21.5" thickTop="1" thickBot="1" x14ac:dyDescent="0.85">
      <c r="A18" t="s">
        <v>821</v>
      </c>
      <c r="B18" s="81" t="s">
        <v>822</v>
      </c>
      <c r="C18" s="79" t="s">
        <v>801</v>
      </c>
      <c r="D18" s="79">
        <v>3</v>
      </c>
      <c r="E18" s="133">
        <v>0</v>
      </c>
      <c r="F18" s="133">
        <v>0.28901062999999999</v>
      </c>
      <c r="G18" s="133">
        <v>2.1958459999999999E-2</v>
      </c>
      <c r="H18" s="133">
        <v>0</v>
      </c>
      <c r="I18" s="133">
        <v>0</v>
      </c>
      <c r="J18" s="133">
        <v>0</v>
      </c>
      <c r="K18" s="134">
        <v>0</v>
      </c>
      <c r="M18" s="135">
        <v>0</v>
      </c>
      <c r="N18" s="133">
        <v>0</v>
      </c>
      <c r="O18" s="133">
        <v>0</v>
      </c>
      <c r="P18" s="133">
        <v>0</v>
      </c>
      <c r="Q18" s="133">
        <v>0</v>
      </c>
      <c r="R18" s="133">
        <v>0</v>
      </c>
      <c r="S18" s="134">
        <v>0</v>
      </c>
      <c r="U18" s="80"/>
      <c r="V18" s="94"/>
      <c r="W18" s="85"/>
      <c r="X18" s="90">
        <v>57</v>
      </c>
      <c r="Y18" s="93">
        <v>10</v>
      </c>
      <c r="Z18" s="107">
        <f t="shared" si="0"/>
        <v>54.09</v>
      </c>
      <c r="AA18" s="80"/>
      <c r="AB18" s="80"/>
      <c r="AC18" s="80">
        <v>54.09</v>
      </c>
      <c r="AD18" s="105">
        <v>47</v>
      </c>
      <c r="AE18" s="99"/>
      <c r="AF18" s="115"/>
      <c r="AG18" s="77" t="s">
        <v>803</v>
      </c>
    </row>
    <row r="19" spans="1:33" ht="21.5" thickTop="1" thickBot="1" x14ac:dyDescent="0.85">
      <c r="A19" t="s">
        <v>823</v>
      </c>
      <c r="B19" s="81" t="s">
        <v>824</v>
      </c>
      <c r="C19" s="79" t="s">
        <v>801</v>
      </c>
      <c r="D19" s="79">
        <v>3</v>
      </c>
      <c r="E19" s="133">
        <v>0</v>
      </c>
      <c r="F19" s="133">
        <v>3.5746569999999998E-2</v>
      </c>
      <c r="G19" s="133">
        <v>4.139897E-2</v>
      </c>
      <c r="H19" s="133">
        <v>1.182828E-2</v>
      </c>
      <c r="I19" s="133">
        <v>0</v>
      </c>
      <c r="J19" s="133">
        <v>0</v>
      </c>
      <c r="K19" s="134">
        <v>0</v>
      </c>
      <c r="M19" s="135">
        <v>0</v>
      </c>
      <c r="N19" s="133">
        <v>0</v>
      </c>
      <c r="O19" s="133">
        <v>0</v>
      </c>
      <c r="P19" s="133">
        <v>0</v>
      </c>
      <c r="Q19" s="133">
        <v>0</v>
      </c>
      <c r="R19" s="133">
        <v>0</v>
      </c>
      <c r="S19" s="134">
        <v>0</v>
      </c>
      <c r="U19" s="90">
        <v>12</v>
      </c>
      <c r="V19" s="94">
        <v>15</v>
      </c>
      <c r="W19" s="85">
        <v>13</v>
      </c>
      <c r="X19" s="85">
        <v>76</v>
      </c>
      <c r="Y19" s="93">
        <v>10</v>
      </c>
      <c r="Z19" s="107">
        <f t="shared" si="0"/>
        <v>79.2</v>
      </c>
      <c r="AA19" s="80"/>
      <c r="AB19" s="80"/>
      <c r="AC19" s="80">
        <v>79.2</v>
      </c>
      <c r="AD19" s="105">
        <f>X19-10</f>
        <v>66</v>
      </c>
      <c r="AE19" s="98"/>
      <c r="AF19" s="115"/>
      <c r="AG19" s="77" t="s">
        <v>814</v>
      </c>
    </row>
    <row r="20" spans="1:33" ht="21.5" thickTop="1" thickBot="1" x14ac:dyDescent="0.85">
      <c r="A20" t="s">
        <v>825</v>
      </c>
      <c r="B20" s="81" t="s">
        <v>826</v>
      </c>
      <c r="C20" s="79" t="s">
        <v>801</v>
      </c>
      <c r="D20" s="79">
        <v>3</v>
      </c>
      <c r="E20" s="133">
        <v>0</v>
      </c>
      <c r="F20" s="133">
        <v>1.2375450000000001E-2</v>
      </c>
      <c r="G20" s="133">
        <v>1.4332319999999999E-2</v>
      </c>
      <c r="H20" s="133">
        <v>4.09495E-3</v>
      </c>
      <c r="I20" s="133">
        <v>0</v>
      </c>
      <c r="J20" s="133">
        <v>0</v>
      </c>
      <c r="K20" s="134">
        <v>0</v>
      </c>
      <c r="M20" s="135">
        <v>0</v>
      </c>
      <c r="N20" s="133">
        <v>0</v>
      </c>
      <c r="O20" s="133">
        <v>0</v>
      </c>
      <c r="P20" s="133">
        <v>0</v>
      </c>
      <c r="Q20" s="133">
        <v>0</v>
      </c>
      <c r="R20" s="133">
        <v>0</v>
      </c>
      <c r="S20" s="134">
        <v>0</v>
      </c>
      <c r="U20" s="90">
        <v>20</v>
      </c>
      <c r="V20" s="94">
        <v>24</v>
      </c>
      <c r="W20" s="85">
        <v>19</v>
      </c>
      <c r="X20" s="85">
        <v>12</v>
      </c>
      <c r="Y20" s="93">
        <v>10</v>
      </c>
      <c r="Z20" s="107">
        <f t="shared" si="0"/>
        <v>3.96</v>
      </c>
      <c r="AA20" s="80"/>
      <c r="AB20" s="80"/>
      <c r="AC20" s="80">
        <v>3.96</v>
      </c>
      <c r="AD20" s="105">
        <v>11.5</v>
      </c>
      <c r="AE20" s="98" t="s">
        <v>802</v>
      </c>
      <c r="AF20" s="114"/>
      <c r="AG20" s="77" t="s">
        <v>803</v>
      </c>
    </row>
    <row r="21" spans="1:33" ht="16.5" customHeight="1" thickTop="1" thickBot="1" x14ac:dyDescent="0.85">
      <c r="A21" t="s">
        <v>827</v>
      </c>
      <c r="B21" s="81" t="s">
        <v>828</v>
      </c>
      <c r="C21" s="79" t="s">
        <v>801</v>
      </c>
      <c r="D21" s="79">
        <v>3</v>
      </c>
      <c r="E21" s="133">
        <v>0</v>
      </c>
      <c r="F21" s="133">
        <v>7.3542E-3</v>
      </c>
      <c r="G21" s="133">
        <v>0</v>
      </c>
      <c r="H21" s="133">
        <v>0</v>
      </c>
      <c r="I21" s="133">
        <v>0</v>
      </c>
      <c r="J21" s="133">
        <v>0</v>
      </c>
      <c r="K21" s="134">
        <v>0</v>
      </c>
      <c r="M21" s="135">
        <v>0</v>
      </c>
      <c r="N21" s="133">
        <v>0</v>
      </c>
      <c r="O21" s="133">
        <v>0</v>
      </c>
      <c r="P21" s="133">
        <v>0</v>
      </c>
      <c r="Q21" s="133">
        <v>0</v>
      </c>
      <c r="R21" s="133">
        <v>0</v>
      </c>
      <c r="S21" s="134">
        <v>0</v>
      </c>
      <c r="U21" s="90">
        <v>3</v>
      </c>
      <c r="V21" s="94">
        <v>4</v>
      </c>
      <c r="W21" s="85">
        <v>1</v>
      </c>
      <c r="X21" s="90">
        <v>165</v>
      </c>
      <c r="Y21" s="93">
        <v>10</v>
      </c>
      <c r="Z21" s="107">
        <f t="shared" si="0"/>
        <v>2</v>
      </c>
      <c r="AA21" s="109">
        <v>2</v>
      </c>
      <c r="AB21" s="80"/>
      <c r="AC21" s="80"/>
      <c r="AD21" s="105">
        <v>0</v>
      </c>
      <c r="AE21" s="98" t="s">
        <v>802</v>
      </c>
      <c r="AF21" s="114"/>
      <c r="AG21" s="77" t="s">
        <v>803</v>
      </c>
    </row>
    <row r="22" spans="1:33" ht="21.5" thickTop="1" thickBot="1" x14ac:dyDescent="0.85">
      <c r="A22" t="s">
        <v>829</v>
      </c>
      <c r="B22" s="81" t="s">
        <v>830</v>
      </c>
      <c r="C22" s="79" t="s">
        <v>801</v>
      </c>
      <c r="D22" s="79">
        <v>3</v>
      </c>
      <c r="E22" s="133">
        <v>0</v>
      </c>
      <c r="F22" s="133">
        <v>0.34734210999999998</v>
      </c>
      <c r="G22" s="133">
        <v>2.639037E-2</v>
      </c>
      <c r="H22" s="133">
        <v>0</v>
      </c>
      <c r="I22" s="133">
        <v>0</v>
      </c>
      <c r="J22" s="133">
        <v>0</v>
      </c>
      <c r="K22" s="134">
        <v>0</v>
      </c>
      <c r="M22" s="135">
        <v>0</v>
      </c>
      <c r="N22" s="133">
        <v>3.4792999999999998E-4</v>
      </c>
      <c r="O22" s="133">
        <v>7.2749000000000002E-4</v>
      </c>
      <c r="P22" s="133">
        <v>7.5911999999999996E-4</v>
      </c>
      <c r="Q22" s="133">
        <v>7.5911999999999996E-4</v>
      </c>
      <c r="R22" s="133">
        <v>7.5911999999999996E-4</v>
      </c>
      <c r="S22" s="134">
        <v>7.5911999999999996E-4</v>
      </c>
      <c r="U22" s="90"/>
      <c r="V22" s="94">
        <v>7</v>
      </c>
      <c r="W22" s="85">
        <v>10</v>
      </c>
      <c r="X22" s="90">
        <v>24</v>
      </c>
      <c r="Y22" s="93">
        <v>10</v>
      </c>
      <c r="Z22" s="107">
        <f t="shared" si="0"/>
        <v>75.569999999999993</v>
      </c>
      <c r="AA22" s="107"/>
      <c r="AB22" s="80"/>
      <c r="AC22" s="80">
        <v>75.569999999999993</v>
      </c>
      <c r="AD22" s="105">
        <v>0</v>
      </c>
      <c r="AE22" s="98" t="s">
        <v>802</v>
      </c>
      <c r="AF22" s="114"/>
      <c r="AG22" s="77" t="s">
        <v>803</v>
      </c>
    </row>
    <row r="23" spans="1:33" ht="21.5" thickTop="1" thickBot="1" x14ac:dyDescent="0.85">
      <c r="A23" t="s">
        <v>831</v>
      </c>
      <c r="B23" s="81" t="s">
        <v>832</v>
      </c>
      <c r="C23" s="79" t="s">
        <v>801</v>
      </c>
      <c r="D23" s="79">
        <v>3</v>
      </c>
      <c r="E23" s="133">
        <v>0</v>
      </c>
      <c r="F23" s="133">
        <v>0.21606048999999999</v>
      </c>
      <c r="G23" s="133">
        <v>0.30898159000000003</v>
      </c>
      <c r="H23" s="133">
        <v>0.15503079</v>
      </c>
      <c r="I23" s="133">
        <v>0</v>
      </c>
      <c r="J23" s="133">
        <v>0</v>
      </c>
      <c r="K23" s="134">
        <v>0</v>
      </c>
      <c r="M23" s="135">
        <v>0</v>
      </c>
      <c r="N23" s="133">
        <v>0</v>
      </c>
      <c r="O23" s="133">
        <v>3.9531000000000001E-4</v>
      </c>
      <c r="P23" s="133">
        <v>1.9765500000000001E-3</v>
      </c>
      <c r="Q23" s="133">
        <v>3.1624800000000001E-3</v>
      </c>
      <c r="R23" s="133">
        <v>3.1624800000000001E-3</v>
      </c>
      <c r="S23" s="134">
        <v>3.1624800000000001E-3</v>
      </c>
      <c r="U23" s="90">
        <v>12</v>
      </c>
      <c r="V23" s="94">
        <v>22</v>
      </c>
      <c r="W23" s="86">
        <v>4</v>
      </c>
      <c r="X23" s="85">
        <v>51</v>
      </c>
      <c r="Y23" s="93">
        <v>10</v>
      </c>
      <c r="Z23" s="107">
        <f t="shared" si="0"/>
        <v>156.02000000000001</v>
      </c>
      <c r="AA23" s="125">
        <v>156.02000000000001</v>
      </c>
      <c r="AB23" s="80"/>
      <c r="AC23" s="80"/>
      <c r="AD23" s="105">
        <v>3</v>
      </c>
      <c r="AE23" s="98" t="s">
        <v>802</v>
      </c>
      <c r="AF23" s="114"/>
      <c r="AG23" s="77" t="s">
        <v>803</v>
      </c>
    </row>
    <row r="24" spans="1:33" ht="16.5" customHeight="1" thickTop="1" thickBot="1" x14ac:dyDescent="0.85">
      <c r="A24" t="s">
        <v>833</v>
      </c>
      <c r="B24" s="81" t="s">
        <v>834</v>
      </c>
      <c r="C24" s="79" t="s">
        <v>801</v>
      </c>
      <c r="D24" s="79">
        <v>3</v>
      </c>
      <c r="E24" s="133">
        <v>0</v>
      </c>
      <c r="F24" s="133">
        <v>0.20713306000000001</v>
      </c>
      <c r="G24" s="133">
        <v>0.31785106000000002</v>
      </c>
      <c r="H24" s="133">
        <v>0.180671</v>
      </c>
      <c r="I24" s="133">
        <v>0</v>
      </c>
      <c r="J24" s="133">
        <v>0</v>
      </c>
      <c r="K24" s="134">
        <v>0</v>
      </c>
      <c r="M24" s="135">
        <v>0</v>
      </c>
      <c r="N24" s="133">
        <v>0</v>
      </c>
      <c r="O24" s="133">
        <v>2.4592E-4</v>
      </c>
      <c r="P24" s="133">
        <v>1.7214400000000001E-3</v>
      </c>
      <c r="Q24" s="133">
        <v>2.9510399999999998E-3</v>
      </c>
      <c r="R24" s="133">
        <v>2.9510399999999998E-3</v>
      </c>
      <c r="S24" s="134">
        <v>2.9510399999999998E-3</v>
      </c>
      <c r="U24" s="90">
        <v>0</v>
      </c>
      <c r="V24" s="94">
        <v>9</v>
      </c>
      <c r="W24" s="85">
        <v>13</v>
      </c>
      <c r="X24" s="90">
        <v>65</v>
      </c>
      <c r="Y24" s="93">
        <v>10</v>
      </c>
      <c r="Z24" s="107">
        <f t="shared" si="0"/>
        <v>170.75</v>
      </c>
      <c r="AA24" s="107">
        <v>170.75</v>
      </c>
      <c r="AB24" s="127"/>
      <c r="AC24" s="80"/>
      <c r="AD24" s="105">
        <v>1</v>
      </c>
      <c r="AE24" s="98" t="s">
        <v>802</v>
      </c>
      <c r="AF24" s="114"/>
      <c r="AG24" s="77" t="s">
        <v>814</v>
      </c>
    </row>
    <row r="25" spans="1:33" ht="21.5" thickTop="1" thickBot="1" x14ac:dyDescent="0.85">
      <c r="A25" t="s">
        <v>835</v>
      </c>
      <c r="B25" s="81" t="s">
        <v>836</v>
      </c>
      <c r="C25" s="79" t="s">
        <v>801</v>
      </c>
      <c r="D25" s="79">
        <v>3</v>
      </c>
      <c r="E25" s="133">
        <v>0.30032123999999999</v>
      </c>
      <c r="F25" s="133">
        <v>0.34303403999999998</v>
      </c>
      <c r="G25" s="133">
        <v>0.34303403999999998</v>
      </c>
      <c r="H25" s="133">
        <v>0</v>
      </c>
      <c r="I25" s="133">
        <v>0</v>
      </c>
      <c r="J25" s="133">
        <v>0</v>
      </c>
      <c r="K25" s="134">
        <v>0</v>
      </c>
      <c r="M25" s="135">
        <v>0</v>
      </c>
      <c r="N25" s="133">
        <v>0</v>
      </c>
      <c r="O25" s="133">
        <v>0</v>
      </c>
      <c r="P25" s="133">
        <v>3.0213600000000003E-3</v>
      </c>
      <c r="Q25" s="133">
        <v>3.02148E-3</v>
      </c>
      <c r="R25" s="133">
        <v>3.02148E-3</v>
      </c>
      <c r="S25" s="134">
        <v>3.02148E-3</v>
      </c>
      <c r="U25" s="90">
        <v>37</v>
      </c>
      <c r="V25" s="94">
        <v>42</v>
      </c>
      <c r="W25" s="85">
        <v>33</v>
      </c>
      <c r="X25" s="85">
        <v>51</v>
      </c>
      <c r="Y25" s="93">
        <v>10</v>
      </c>
      <c r="Z25" s="107">
        <f t="shared" si="0"/>
        <v>427.76</v>
      </c>
      <c r="AA25" s="109">
        <v>427.76</v>
      </c>
      <c r="AB25" s="80"/>
      <c r="AC25" s="80"/>
      <c r="AD25" s="105">
        <v>27.5</v>
      </c>
      <c r="AE25" s="98" t="s">
        <v>802</v>
      </c>
      <c r="AF25" s="114"/>
      <c r="AG25" s="77" t="s">
        <v>803</v>
      </c>
    </row>
    <row r="26" spans="1:33" ht="21.5" thickTop="1" thickBot="1" x14ac:dyDescent="0.85">
      <c r="A26" t="s">
        <v>837</v>
      </c>
      <c r="B26" s="81" t="s">
        <v>838</v>
      </c>
      <c r="C26" s="79" t="s">
        <v>801</v>
      </c>
      <c r="D26" s="79">
        <v>3</v>
      </c>
      <c r="E26" s="133">
        <v>0</v>
      </c>
      <c r="F26" s="133">
        <v>3.0219919999999997E-2</v>
      </c>
      <c r="G26" s="133">
        <v>1.4763170000000001E-2</v>
      </c>
      <c r="H26" s="133">
        <v>0</v>
      </c>
      <c r="I26" s="133">
        <v>0</v>
      </c>
      <c r="J26" s="133">
        <v>0</v>
      </c>
      <c r="K26" s="134">
        <v>0</v>
      </c>
      <c r="M26" s="135">
        <v>0</v>
      </c>
      <c r="N26" s="133">
        <v>0</v>
      </c>
      <c r="O26" s="133">
        <v>0</v>
      </c>
      <c r="P26" s="133">
        <v>0</v>
      </c>
      <c r="Q26" s="133">
        <v>0</v>
      </c>
      <c r="R26" s="133">
        <v>0</v>
      </c>
      <c r="S26" s="134">
        <v>0</v>
      </c>
      <c r="U26" s="80"/>
      <c r="V26" s="94"/>
      <c r="W26" s="85"/>
      <c r="X26" s="90">
        <v>15</v>
      </c>
      <c r="Y26" s="93">
        <v>10</v>
      </c>
      <c r="Z26" s="107">
        <f t="shared" si="0"/>
        <v>6.52</v>
      </c>
      <c r="AA26" s="107">
        <v>6.52</v>
      </c>
      <c r="AB26" s="80"/>
      <c r="AC26" s="80"/>
      <c r="AD26" s="105">
        <v>5</v>
      </c>
      <c r="AE26" s="98" t="s">
        <v>802</v>
      </c>
      <c r="AF26" s="114"/>
      <c r="AG26" s="77" t="s">
        <v>814</v>
      </c>
    </row>
    <row r="27" spans="1:33" ht="21.5" thickTop="1" thickBot="1" x14ac:dyDescent="0.85">
      <c r="A27" t="s">
        <v>839</v>
      </c>
      <c r="B27" s="81" t="s">
        <v>840</v>
      </c>
      <c r="C27" s="79" t="s">
        <v>801</v>
      </c>
      <c r="D27" s="79">
        <v>3</v>
      </c>
      <c r="E27" s="133">
        <v>0</v>
      </c>
      <c r="F27" s="133">
        <v>7.8715999999999996E-4</v>
      </c>
      <c r="G27" s="133">
        <v>9.1160999999999998E-4</v>
      </c>
      <c r="H27" s="133">
        <v>2.6045999999999996E-4</v>
      </c>
      <c r="I27" s="133">
        <v>0</v>
      </c>
      <c r="J27" s="133">
        <v>0</v>
      </c>
      <c r="K27" s="134">
        <v>0</v>
      </c>
      <c r="M27" s="135">
        <v>0</v>
      </c>
      <c r="N27" s="133">
        <v>0</v>
      </c>
      <c r="O27" s="133">
        <v>0</v>
      </c>
      <c r="P27" s="133">
        <v>0</v>
      </c>
      <c r="Q27" s="133">
        <v>0</v>
      </c>
      <c r="R27" s="133">
        <v>0</v>
      </c>
      <c r="S27" s="134">
        <v>0</v>
      </c>
      <c r="U27" s="90"/>
      <c r="V27" s="94">
        <v>14</v>
      </c>
      <c r="W27" s="85">
        <v>1</v>
      </c>
      <c r="X27" s="90">
        <v>13</v>
      </c>
      <c r="Y27" s="93">
        <v>10</v>
      </c>
      <c r="Z27" s="107">
        <f t="shared" si="0"/>
        <v>0.66</v>
      </c>
      <c r="AA27" s="80"/>
      <c r="AB27" s="80"/>
      <c r="AC27" s="80">
        <v>0.66</v>
      </c>
      <c r="AD27" s="105">
        <v>3</v>
      </c>
      <c r="AE27" s="98" t="s">
        <v>802</v>
      </c>
      <c r="AF27" s="114"/>
      <c r="AG27" s="77" t="s">
        <v>814</v>
      </c>
    </row>
    <row r="28" spans="1:33" ht="16.5" customHeight="1" thickTop="1" thickBot="1" x14ac:dyDescent="0.85">
      <c r="A28" t="s">
        <v>841</v>
      </c>
      <c r="B28" s="81" t="s">
        <v>842</v>
      </c>
      <c r="C28" s="79" t="s">
        <v>801</v>
      </c>
      <c r="D28" s="79">
        <v>3</v>
      </c>
      <c r="E28" s="133">
        <v>0</v>
      </c>
      <c r="F28" s="133">
        <v>3.66521E-2</v>
      </c>
      <c r="G28" s="133">
        <v>2.7847499999999999E-3</v>
      </c>
      <c r="H28" s="133">
        <v>0</v>
      </c>
      <c r="I28" s="133">
        <v>0</v>
      </c>
      <c r="J28" s="133">
        <v>0</v>
      </c>
      <c r="K28" s="134">
        <v>0</v>
      </c>
      <c r="M28" s="135">
        <v>0</v>
      </c>
      <c r="N28" s="133">
        <v>0</v>
      </c>
      <c r="O28" s="133">
        <v>0</v>
      </c>
      <c r="P28" s="133">
        <v>0</v>
      </c>
      <c r="Q28" s="133">
        <v>0</v>
      </c>
      <c r="R28" s="133">
        <v>0</v>
      </c>
      <c r="S28" s="134">
        <v>0</v>
      </c>
      <c r="U28" s="80"/>
      <c r="V28" s="94"/>
      <c r="W28" s="85"/>
      <c r="X28" s="90">
        <v>11</v>
      </c>
      <c r="Y28" s="93">
        <v>10</v>
      </c>
      <c r="Z28" s="107">
        <f t="shared" si="0"/>
        <v>5.07</v>
      </c>
      <c r="AA28" s="107"/>
      <c r="AB28" s="127"/>
      <c r="AC28" s="80">
        <v>5.07</v>
      </c>
      <c r="AD28" s="105">
        <v>1</v>
      </c>
      <c r="AE28" s="98" t="s">
        <v>802</v>
      </c>
      <c r="AF28" s="113"/>
      <c r="AG28" s="77" t="s">
        <v>814</v>
      </c>
    </row>
    <row r="29" spans="1:33" ht="21.5" thickTop="1" thickBot="1" x14ac:dyDescent="0.85">
      <c r="A29" t="s">
        <v>843</v>
      </c>
      <c r="B29" s="81" t="s">
        <v>844</v>
      </c>
      <c r="C29" s="79" t="s">
        <v>801</v>
      </c>
      <c r="D29" s="79">
        <v>3</v>
      </c>
      <c r="E29" s="133">
        <v>0</v>
      </c>
      <c r="F29" s="133">
        <v>0.21256088000000001</v>
      </c>
      <c r="G29" s="133">
        <v>0.32618016999999999</v>
      </c>
      <c r="H29" s="133">
        <v>0.18540535999999999</v>
      </c>
      <c r="I29" s="133">
        <v>0</v>
      </c>
      <c r="J29" s="133">
        <v>0</v>
      </c>
      <c r="K29" s="134">
        <v>0</v>
      </c>
      <c r="M29" s="135">
        <v>0</v>
      </c>
      <c r="N29" s="133">
        <v>0</v>
      </c>
      <c r="O29" s="133">
        <v>1.9360000000000001E-5</v>
      </c>
      <c r="P29" s="133">
        <v>1.3552E-4</v>
      </c>
      <c r="Q29" s="133">
        <v>2.3232E-4</v>
      </c>
      <c r="R29" s="133">
        <v>2.3232E-4</v>
      </c>
      <c r="S29" s="134">
        <v>2.3232E-4</v>
      </c>
      <c r="U29" s="80"/>
      <c r="V29" s="94"/>
      <c r="W29" s="85"/>
      <c r="X29" s="85">
        <v>52</v>
      </c>
      <c r="Y29" s="93">
        <v>10</v>
      </c>
      <c r="Z29" s="107">
        <f t="shared" si="0"/>
        <v>324.8784</v>
      </c>
      <c r="AA29" s="107">
        <v>36</v>
      </c>
      <c r="AB29" s="80"/>
      <c r="AC29" s="80">
        <f>(246.12*1.32)-AA29</f>
        <v>288.8784</v>
      </c>
      <c r="AD29" s="105">
        <v>42</v>
      </c>
      <c r="AE29" s="98" t="s">
        <v>802</v>
      </c>
      <c r="AF29" s="113"/>
      <c r="AG29" s="77" t="s">
        <v>814</v>
      </c>
    </row>
    <row r="30" spans="1:33" ht="21.5" thickTop="1" thickBot="1" x14ac:dyDescent="0.85">
      <c r="A30" t="s">
        <v>845</v>
      </c>
      <c r="B30" s="81" t="s">
        <v>846</v>
      </c>
      <c r="C30" s="79" t="s">
        <v>801</v>
      </c>
      <c r="D30" s="79">
        <v>3</v>
      </c>
      <c r="E30" s="133">
        <v>0</v>
      </c>
      <c r="F30" s="133">
        <v>0.41069053000000005</v>
      </c>
      <c r="G30" s="133">
        <v>0.86328579999999999</v>
      </c>
      <c r="H30" s="133">
        <v>0.76883223999999994</v>
      </c>
      <c r="I30" s="133">
        <v>0.11711769</v>
      </c>
      <c r="J30" s="133">
        <v>0</v>
      </c>
      <c r="K30" s="134">
        <v>0</v>
      </c>
      <c r="M30" s="135">
        <v>0</v>
      </c>
      <c r="N30" s="133">
        <v>0</v>
      </c>
      <c r="O30" s="133">
        <v>0</v>
      </c>
      <c r="P30" s="133">
        <v>1.3085999999999998E-3</v>
      </c>
      <c r="Q30" s="133">
        <v>3.0534E-3</v>
      </c>
      <c r="R30" s="133">
        <v>3.4895100000000004E-3</v>
      </c>
      <c r="S30" s="134">
        <v>3.4894800000000001E-3</v>
      </c>
      <c r="U30" s="90">
        <v>54</v>
      </c>
      <c r="V30" s="94">
        <v>60</v>
      </c>
      <c r="W30" s="85">
        <v>43</v>
      </c>
      <c r="X30" s="85">
        <v>100</v>
      </c>
      <c r="Y30" s="93">
        <v>10</v>
      </c>
      <c r="Z30" s="107">
        <f t="shared" si="0"/>
        <v>1408.44</v>
      </c>
      <c r="AA30" s="109">
        <v>1408.44</v>
      </c>
      <c r="AB30" s="80"/>
      <c r="AC30" s="80"/>
      <c r="AD30" s="105">
        <v>49.5</v>
      </c>
      <c r="AE30" s="98"/>
      <c r="AF30" s="113">
        <v>2</v>
      </c>
      <c r="AG30" s="77" t="s">
        <v>814</v>
      </c>
    </row>
    <row r="31" spans="1:33" ht="16.5" customHeight="1" thickTop="1" thickBot="1" x14ac:dyDescent="0.85">
      <c r="A31" s="145" t="s">
        <v>847</v>
      </c>
      <c r="B31" s="160" t="s">
        <v>848</v>
      </c>
      <c r="C31" s="79" t="s">
        <v>801</v>
      </c>
      <c r="D31" s="79">
        <v>3</v>
      </c>
      <c r="E31" s="147">
        <v>0</v>
      </c>
      <c r="F31" s="147">
        <v>0</v>
      </c>
      <c r="G31" s="147">
        <v>1.7999999999999999E-2</v>
      </c>
      <c r="H31" s="147">
        <v>0.1783611946875</v>
      </c>
      <c r="I31" s="147">
        <v>0.30450353312499995</v>
      </c>
      <c r="J31" s="147">
        <v>0.21723204593750001</v>
      </c>
      <c r="K31" s="148">
        <v>0</v>
      </c>
      <c r="L31" s="128"/>
      <c r="M31" s="149">
        <v>0</v>
      </c>
      <c r="N31" s="147">
        <v>0</v>
      </c>
      <c r="O31" s="147">
        <v>0</v>
      </c>
      <c r="P31" s="147">
        <v>0</v>
      </c>
      <c r="Q31" s="147">
        <v>0</v>
      </c>
      <c r="R31" s="147">
        <v>1.38769125E-3</v>
      </c>
      <c r="S31" s="148">
        <v>2.7753825E-3</v>
      </c>
      <c r="U31" s="80"/>
      <c r="V31" s="155"/>
      <c r="W31" s="87"/>
      <c r="X31" s="154"/>
      <c r="Y31" s="93">
        <v>10</v>
      </c>
      <c r="Z31" s="107">
        <f t="shared" si="0"/>
        <v>132</v>
      </c>
      <c r="AA31" s="107">
        <v>132</v>
      </c>
      <c r="AB31" s="80"/>
      <c r="AC31" s="80"/>
      <c r="AD31" s="105"/>
      <c r="AE31" s="101"/>
      <c r="AF31" s="174"/>
      <c r="AG31" s="77" t="s">
        <v>803</v>
      </c>
    </row>
    <row r="32" spans="1:33" ht="21.5" thickTop="1" thickBot="1" x14ac:dyDescent="0.85">
      <c r="A32" t="s">
        <v>849</v>
      </c>
      <c r="B32" s="81" t="s">
        <v>850</v>
      </c>
      <c r="C32" s="79" t="s">
        <v>801</v>
      </c>
      <c r="D32" s="79">
        <v>3</v>
      </c>
      <c r="E32" s="133">
        <v>0</v>
      </c>
      <c r="F32" s="133">
        <v>0</v>
      </c>
      <c r="G32" s="133">
        <v>0.47773163000000002</v>
      </c>
      <c r="H32" s="133">
        <v>1.64284418</v>
      </c>
      <c r="I32" s="133">
        <v>2.9439814200000001</v>
      </c>
      <c r="J32" s="133">
        <v>2.1351840800000002</v>
      </c>
      <c r="K32" s="134">
        <v>0</v>
      </c>
      <c r="M32" s="135">
        <v>0</v>
      </c>
      <c r="N32" s="133">
        <v>0</v>
      </c>
      <c r="O32" s="133">
        <v>0</v>
      </c>
      <c r="P32" s="133">
        <v>0</v>
      </c>
      <c r="Q32" s="133">
        <v>0</v>
      </c>
      <c r="R32" s="133">
        <v>5.15556E-3</v>
      </c>
      <c r="S32" s="134">
        <v>1.031112E-2</v>
      </c>
      <c r="U32" s="90"/>
      <c r="V32" s="94">
        <v>9</v>
      </c>
      <c r="W32" s="85">
        <v>22</v>
      </c>
      <c r="X32" s="85">
        <v>16</v>
      </c>
      <c r="Y32" s="93">
        <v>10</v>
      </c>
      <c r="Z32" s="107">
        <f t="shared" si="0"/>
        <v>6697</v>
      </c>
      <c r="AA32" s="107">
        <f>1339.4*2</f>
        <v>2678.8</v>
      </c>
      <c r="AB32" s="80"/>
      <c r="AC32" s="109">
        <f>6697-AA32</f>
        <v>4018.2</v>
      </c>
      <c r="AD32" s="105">
        <v>13.5</v>
      </c>
      <c r="AE32" s="98" t="s">
        <v>802</v>
      </c>
      <c r="AF32" s="113">
        <v>2</v>
      </c>
      <c r="AG32" s="77" t="s">
        <v>814</v>
      </c>
    </row>
    <row r="33" spans="1:33" ht="21.5" thickTop="1" thickBot="1" x14ac:dyDescent="0.85">
      <c r="A33" t="s">
        <v>851</v>
      </c>
      <c r="B33" s="81" t="s">
        <v>852</v>
      </c>
      <c r="C33" s="79" t="s">
        <v>801</v>
      </c>
      <c r="D33" s="79">
        <v>3</v>
      </c>
      <c r="E33" s="133">
        <v>0</v>
      </c>
      <c r="F33" s="133">
        <v>0.80308789000000003</v>
      </c>
      <c r="G33" s="133">
        <v>2.1691455499999996</v>
      </c>
      <c r="H33" s="133">
        <v>3.1669048900000001</v>
      </c>
      <c r="I33" s="133">
        <v>1.5441486</v>
      </c>
      <c r="J33" s="133">
        <v>0</v>
      </c>
      <c r="K33" s="134">
        <v>0</v>
      </c>
      <c r="M33" s="135">
        <v>0</v>
      </c>
      <c r="N33" s="133">
        <v>0</v>
      </c>
      <c r="O33" s="133">
        <v>0</v>
      </c>
      <c r="P33" s="133">
        <v>1.3418099999999999E-3</v>
      </c>
      <c r="Q33" s="133">
        <v>6.7090500000000003E-3</v>
      </c>
      <c r="R33" s="133">
        <v>1.0734479999999999E-2</v>
      </c>
      <c r="S33" s="134">
        <v>1.0734479999999999E-2</v>
      </c>
      <c r="U33" s="80"/>
      <c r="V33" s="94"/>
      <c r="W33" s="85"/>
      <c r="X33" s="90">
        <v>23</v>
      </c>
      <c r="Y33" s="93">
        <v>10</v>
      </c>
      <c r="Z33" s="107">
        <f t="shared" si="0"/>
        <v>8875.006800000001</v>
      </c>
      <c r="AA33" s="109">
        <v>3093.9</v>
      </c>
      <c r="AB33" s="80"/>
      <c r="AC33" s="80">
        <f>(6723.49*1.32)-AA33</f>
        <v>5781.1068000000014</v>
      </c>
      <c r="AD33" s="105">
        <v>21</v>
      </c>
      <c r="AE33" s="98" t="s">
        <v>802</v>
      </c>
      <c r="AF33" s="113">
        <v>2</v>
      </c>
      <c r="AG33" s="77" t="s">
        <v>803</v>
      </c>
    </row>
    <row r="34" spans="1:33" ht="21.5" thickTop="1" thickBot="1" x14ac:dyDescent="0.85">
      <c r="A34" t="s">
        <v>853</v>
      </c>
      <c r="B34" s="81" t="s">
        <v>854</v>
      </c>
      <c r="C34" s="79" t="s">
        <v>801</v>
      </c>
      <c r="D34" s="79">
        <v>3</v>
      </c>
      <c r="E34" s="133">
        <v>0.19048295999999998</v>
      </c>
      <c r="F34" s="133">
        <v>0.19799304000000001</v>
      </c>
      <c r="G34" s="133">
        <v>0.19799304000000001</v>
      </c>
      <c r="H34" s="133">
        <v>0</v>
      </c>
      <c r="I34" s="133">
        <v>0</v>
      </c>
      <c r="J34" s="133">
        <v>0</v>
      </c>
      <c r="K34" s="134">
        <v>0</v>
      </c>
      <c r="M34" s="135">
        <v>0</v>
      </c>
      <c r="N34" s="133">
        <v>0</v>
      </c>
      <c r="O34" s="133">
        <v>0</v>
      </c>
      <c r="P34" s="133">
        <v>0</v>
      </c>
      <c r="Q34" s="133">
        <v>0</v>
      </c>
      <c r="R34" s="133">
        <v>0</v>
      </c>
      <c r="S34" s="134">
        <v>0</v>
      </c>
      <c r="U34" s="90">
        <v>10</v>
      </c>
      <c r="V34" s="94">
        <v>21</v>
      </c>
      <c r="W34" s="85">
        <v>8</v>
      </c>
      <c r="X34" s="85">
        <v>14</v>
      </c>
      <c r="Y34" s="93">
        <v>10</v>
      </c>
      <c r="Z34" s="107">
        <f t="shared" si="0"/>
        <v>2868.6239999999998</v>
      </c>
      <c r="AA34" s="80"/>
      <c r="AB34" s="80"/>
      <c r="AC34" s="80">
        <f>2173.2*1.32</f>
        <v>2868.6239999999998</v>
      </c>
      <c r="AD34" s="105">
        <v>4.5</v>
      </c>
      <c r="AE34" s="98" t="s">
        <v>802</v>
      </c>
      <c r="AF34" s="116"/>
      <c r="AG34" s="77" t="s">
        <v>803</v>
      </c>
    </row>
    <row r="35" spans="1:33" ht="21.5" thickTop="1" thickBot="1" x14ac:dyDescent="0.85">
      <c r="A35" t="s">
        <v>855</v>
      </c>
      <c r="B35" s="81" t="s">
        <v>856</v>
      </c>
      <c r="C35" s="79" t="s">
        <v>801</v>
      </c>
      <c r="D35" s="79">
        <v>3</v>
      </c>
      <c r="E35" s="133">
        <v>0.13406522000000001</v>
      </c>
      <c r="F35" s="133">
        <v>1.9556789999999999</v>
      </c>
      <c r="G35" s="133">
        <v>1.9556789999999999</v>
      </c>
      <c r="H35" s="133">
        <v>0</v>
      </c>
      <c r="I35" s="133">
        <v>0</v>
      </c>
      <c r="J35" s="133">
        <v>0</v>
      </c>
      <c r="K35" s="134">
        <v>0</v>
      </c>
      <c r="M35" s="135">
        <v>0</v>
      </c>
      <c r="N35" s="133">
        <v>0</v>
      </c>
      <c r="O35" s="133">
        <v>0</v>
      </c>
      <c r="P35" s="133">
        <v>4.4759999999999999E-3</v>
      </c>
      <c r="Q35" s="133">
        <v>4.4759999999999999E-3</v>
      </c>
      <c r="R35" s="133">
        <v>4.4759999999999999E-3</v>
      </c>
      <c r="S35" s="134">
        <v>4.4759999999999999E-3</v>
      </c>
      <c r="U35" s="90"/>
      <c r="V35" s="94">
        <v>24</v>
      </c>
      <c r="W35" s="85">
        <v>57</v>
      </c>
      <c r="X35" s="85">
        <v>47</v>
      </c>
      <c r="Y35" s="93">
        <v>10</v>
      </c>
      <c r="Z35" s="107">
        <f t="shared" si="0"/>
        <v>2976.34</v>
      </c>
      <c r="AA35" s="109">
        <v>2976.34</v>
      </c>
      <c r="AB35" s="80"/>
      <c r="AC35" s="80"/>
      <c r="AD35" s="105">
        <f>X35-10</f>
        <v>37</v>
      </c>
      <c r="AE35" s="98" t="s">
        <v>802</v>
      </c>
      <c r="AF35" s="113"/>
      <c r="AG35" s="77" t="s">
        <v>803</v>
      </c>
    </row>
    <row r="36" spans="1:33" ht="21.5" thickTop="1" thickBot="1" x14ac:dyDescent="0.85">
      <c r="A36" t="s">
        <v>857</v>
      </c>
      <c r="B36" s="81" t="s">
        <v>858</v>
      </c>
      <c r="C36" s="79" t="s">
        <v>801</v>
      </c>
      <c r="D36" s="79">
        <v>3</v>
      </c>
      <c r="E36" s="133">
        <v>0</v>
      </c>
      <c r="F36" s="133">
        <v>0.14175417000000001</v>
      </c>
      <c r="G36" s="133">
        <v>0.17620951999999998</v>
      </c>
      <c r="H36" s="133">
        <v>6.7671679999999998E-2</v>
      </c>
      <c r="I36" s="133">
        <v>0</v>
      </c>
      <c r="J36" s="133">
        <v>0</v>
      </c>
      <c r="K36" s="134">
        <v>0</v>
      </c>
      <c r="M36" s="135">
        <v>0</v>
      </c>
      <c r="N36" s="133">
        <v>0</v>
      </c>
      <c r="O36" s="133">
        <v>0</v>
      </c>
      <c r="P36" s="133">
        <v>0</v>
      </c>
      <c r="Q36" s="133">
        <v>0</v>
      </c>
      <c r="R36" s="133">
        <v>0</v>
      </c>
      <c r="S36" s="134">
        <v>0</v>
      </c>
      <c r="U36" s="90">
        <v>42</v>
      </c>
      <c r="V36" s="94">
        <v>58</v>
      </c>
      <c r="W36" s="85">
        <v>3</v>
      </c>
      <c r="X36" s="85">
        <v>26</v>
      </c>
      <c r="Y36" s="93">
        <v>10</v>
      </c>
      <c r="Z36" s="107">
        <f t="shared" si="0"/>
        <v>180.57600000000002</v>
      </c>
      <c r="AA36" s="80"/>
      <c r="AB36" s="80"/>
      <c r="AC36" s="80">
        <f>136.8*1.32</f>
        <v>180.57600000000002</v>
      </c>
      <c r="AD36" s="105">
        <v>20.5</v>
      </c>
      <c r="AE36" s="98"/>
      <c r="AF36" s="114"/>
      <c r="AG36" s="77" t="s">
        <v>803</v>
      </c>
    </row>
    <row r="37" spans="1:33" ht="21.5" thickTop="1" thickBot="1" x14ac:dyDescent="0.85">
      <c r="A37" t="s">
        <v>859</v>
      </c>
      <c r="B37" s="81" t="s">
        <v>860</v>
      </c>
      <c r="C37" s="79" t="s">
        <v>801</v>
      </c>
      <c r="D37" s="79">
        <v>3</v>
      </c>
      <c r="E37" s="133">
        <v>0</v>
      </c>
      <c r="F37" s="133">
        <v>0.10070805000000001</v>
      </c>
      <c r="G37" s="133">
        <v>0.10310527999999999</v>
      </c>
      <c r="H37" s="133">
        <v>2.330482E-2</v>
      </c>
      <c r="I37" s="133">
        <v>0</v>
      </c>
      <c r="J37" s="133">
        <v>0</v>
      </c>
      <c r="K37" s="134">
        <v>0</v>
      </c>
      <c r="M37" s="135">
        <v>0</v>
      </c>
      <c r="N37" s="133">
        <v>0</v>
      </c>
      <c r="O37" s="133">
        <v>0</v>
      </c>
      <c r="P37" s="133">
        <v>0</v>
      </c>
      <c r="Q37" s="133">
        <v>0</v>
      </c>
      <c r="R37" s="133">
        <v>0</v>
      </c>
      <c r="S37" s="134">
        <v>0</v>
      </c>
      <c r="U37" s="90">
        <v>2</v>
      </c>
      <c r="V37" s="94">
        <v>6</v>
      </c>
      <c r="W37" s="85">
        <v>4</v>
      </c>
      <c r="X37" s="90">
        <v>48</v>
      </c>
      <c r="Y37" s="93">
        <v>10</v>
      </c>
      <c r="Z37" s="107">
        <f t="shared" si="0"/>
        <v>248.5428</v>
      </c>
      <c r="AA37" s="80"/>
      <c r="AB37" s="80"/>
      <c r="AC37" s="80">
        <f>188.29*1.32</f>
        <v>248.5428</v>
      </c>
      <c r="AD37" s="105">
        <v>0</v>
      </c>
      <c r="AE37" s="98"/>
      <c r="AF37" s="113"/>
      <c r="AG37" s="77" t="s">
        <v>803</v>
      </c>
    </row>
    <row r="38" spans="1:33" ht="21.5" thickTop="1" thickBot="1" x14ac:dyDescent="0.85">
      <c r="A38" t="s">
        <v>861</v>
      </c>
      <c r="B38" s="81" t="s">
        <v>862</v>
      </c>
      <c r="C38" s="79" t="s">
        <v>801</v>
      </c>
      <c r="D38" s="79">
        <v>3</v>
      </c>
      <c r="E38" s="133">
        <v>0</v>
      </c>
      <c r="F38" s="133">
        <v>9.389335E-2</v>
      </c>
      <c r="G38" s="133">
        <v>0.10874022</v>
      </c>
      <c r="H38" s="133">
        <v>3.106859E-2</v>
      </c>
      <c r="I38" s="133">
        <v>0</v>
      </c>
      <c r="J38" s="133">
        <v>0</v>
      </c>
      <c r="K38" s="134">
        <v>0</v>
      </c>
      <c r="M38" s="135">
        <v>0</v>
      </c>
      <c r="N38" s="133">
        <v>0</v>
      </c>
      <c r="O38" s="133">
        <v>0</v>
      </c>
      <c r="P38" s="133">
        <v>0</v>
      </c>
      <c r="Q38" s="133">
        <v>0</v>
      </c>
      <c r="R38" s="133">
        <v>0</v>
      </c>
      <c r="S38" s="134">
        <v>0</v>
      </c>
      <c r="U38" s="90">
        <v>0</v>
      </c>
      <c r="V38" s="94">
        <v>16</v>
      </c>
      <c r="W38" s="85">
        <v>2</v>
      </c>
      <c r="X38" s="90">
        <v>33</v>
      </c>
      <c r="Y38" s="93">
        <v>10</v>
      </c>
      <c r="Z38" s="107">
        <f t="shared" si="0"/>
        <v>39.6</v>
      </c>
      <c r="AA38" s="80"/>
      <c r="AB38" s="80"/>
      <c r="AC38" s="80">
        <f>30*1.32</f>
        <v>39.6</v>
      </c>
      <c r="AD38" s="105">
        <v>23</v>
      </c>
      <c r="AE38" s="98" t="s">
        <v>802</v>
      </c>
      <c r="AF38" s="113"/>
      <c r="AG38" s="77" t="s">
        <v>803</v>
      </c>
    </row>
    <row r="39" spans="1:33" ht="21.5" thickTop="1" thickBot="1" x14ac:dyDescent="0.85">
      <c r="A39" t="s">
        <v>863</v>
      </c>
      <c r="B39" s="81" t="s">
        <v>864</v>
      </c>
      <c r="C39" s="79" t="s">
        <v>801</v>
      </c>
      <c r="D39" s="79">
        <v>3</v>
      </c>
      <c r="E39" s="133">
        <v>0</v>
      </c>
      <c r="F39" s="133">
        <v>0.61695283999999995</v>
      </c>
      <c r="G39" s="133">
        <v>1.55998071</v>
      </c>
      <c r="H39" s="133">
        <v>1.89472931</v>
      </c>
      <c r="I39" s="133">
        <v>0.67317923000000002</v>
      </c>
      <c r="J39" s="133">
        <v>0</v>
      </c>
      <c r="K39" s="134">
        <v>0</v>
      </c>
      <c r="M39" s="135">
        <v>0</v>
      </c>
      <c r="N39" s="133">
        <v>0</v>
      </c>
      <c r="O39" s="133">
        <v>0</v>
      </c>
      <c r="P39" s="133">
        <v>1.4735E-3</v>
      </c>
      <c r="Q39" s="133">
        <v>5.00995E-3</v>
      </c>
      <c r="R39" s="133">
        <v>7.0729199999999999E-3</v>
      </c>
      <c r="S39" s="134">
        <v>7.0729199999999999E-3</v>
      </c>
      <c r="U39" s="80"/>
      <c r="V39" s="94"/>
      <c r="W39" s="85"/>
      <c r="X39" s="85">
        <v>3</v>
      </c>
      <c r="Y39" s="93">
        <v>10</v>
      </c>
      <c r="Z39" s="107">
        <f t="shared" si="0"/>
        <v>4101</v>
      </c>
      <c r="AA39" s="107">
        <f>2*820.32</f>
        <v>1640.64</v>
      </c>
      <c r="AB39" s="80"/>
      <c r="AC39" s="109">
        <f>4101-AA39</f>
        <v>2460.3599999999997</v>
      </c>
      <c r="AD39" s="105">
        <v>1</v>
      </c>
      <c r="AE39" s="98" t="s">
        <v>802</v>
      </c>
      <c r="AF39" s="113">
        <v>2</v>
      </c>
      <c r="AG39" s="77" t="s">
        <v>803</v>
      </c>
    </row>
    <row r="40" spans="1:33" ht="21.5" thickTop="1" thickBot="1" x14ac:dyDescent="0.85">
      <c r="A40" t="s">
        <v>865</v>
      </c>
      <c r="B40" s="81" t="s">
        <v>866</v>
      </c>
      <c r="C40" s="79" t="s">
        <v>801</v>
      </c>
      <c r="D40" s="79">
        <v>3</v>
      </c>
      <c r="E40" s="133">
        <v>0</v>
      </c>
      <c r="F40" s="133">
        <v>3.3788451800000003</v>
      </c>
      <c r="G40" s="133">
        <v>3.9131243499999999</v>
      </c>
      <c r="H40" s="133">
        <v>1.1180343400000001</v>
      </c>
      <c r="I40" s="133">
        <v>0</v>
      </c>
      <c r="J40" s="133">
        <v>0</v>
      </c>
      <c r="K40" s="134">
        <v>0</v>
      </c>
      <c r="M40" s="135">
        <v>0</v>
      </c>
      <c r="N40" s="133">
        <v>0</v>
      </c>
      <c r="O40" s="133">
        <v>3.8259899999999996E-3</v>
      </c>
      <c r="P40" s="133">
        <v>1.0384899999999999E-2</v>
      </c>
      <c r="Q40" s="133">
        <v>1.3117799999999999E-2</v>
      </c>
      <c r="R40" s="133">
        <v>1.3117799999999999E-2</v>
      </c>
      <c r="S40" s="134">
        <v>1.3117799999999999E-2</v>
      </c>
      <c r="U40" s="90"/>
      <c r="V40" s="94">
        <v>2</v>
      </c>
      <c r="W40" s="85">
        <v>4</v>
      </c>
      <c r="X40" s="85">
        <v>44</v>
      </c>
      <c r="Y40" s="93">
        <v>10</v>
      </c>
      <c r="Z40" s="107">
        <f t="shared" si="0"/>
        <v>10499.464800000002</v>
      </c>
      <c r="AA40" s="109">
        <v>3456.6</v>
      </c>
      <c r="AB40" s="80"/>
      <c r="AC40" s="80">
        <f>(7954.14*1.32)-AA40</f>
        <v>7042.8648000000012</v>
      </c>
      <c r="AD40" s="105">
        <v>1</v>
      </c>
      <c r="AE40" s="98" t="s">
        <v>802</v>
      </c>
      <c r="AF40" s="113">
        <v>2</v>
      </c>
      <c r="AG40" s="77" t="s">
        <v>803</v>
      </c>
    </row>
    <row r="41" spans="1:33" ht="21.5" thickTop="1" thickBot="1" x14ac:dyDescent="0.85">
      <c r="A41" t="s">
        <v>867</v>
      </c>
      <c r="B41" s="81" t="s">
        <v>868</v>
      </c>
      <c r="C41" s="79" t="s">
        <v>801</v>
      </c>
      <c r="D41" s="79">
        <v>3</v>
      </c>
      <c r="E41" s="133">
        <v>0</v>
      </c>
      <c r="F41" s="133">
        <v>0.59965742</v>
      </c>
      <c r="G41" s="133">
        <v>1.45803006</v>
      </c>
      <c r="H41" s="133">
        <v>1.6382268799999999</v>
      </c>
      <c r="I41" s="133">
        <v>0.49441719000000001</v>
      </c>
      <c r="J41" s="133">
        <v>0</v>
      </c>
      <c r="K41" s="134">
        <v>0</v>
      </c>
      <c r="M41" s="135">
        <v>0</v>
      </c>
      <c r="N41" s="133">
        <v>0</v>
      </c>
      <c r="O41" s="133">
        <v>0</v>
      </c>
      <c r="P41" s="133">
        <v>1.7376E-3</v>
      </c>
      <c r="Q41" s="133">
        <v>5.2128000000000001E-3</v>
      </c>
      <c r="R41" s="133">
        <v>6.9503999999999998E-3</v>
      </c>
      <c r="S41" s="134">
        <v>6.9503999999999998E-3</v>
      </c>
      <c r="U41" s="90">
        <v>96</v>
      </c>
      <c r="V41" s="94">
        <v>66</v>
      </c>
      <c r="W41" s="85">
        <v>82</v>
      </c>
      <c r="X41" s="85">
        <v>12</v>
      </c>
      <c r="Y41" s="93">
        <v>10</v>
      </c>
      <c r="Z41" s="107">
        <f t="shared" ref="Z41:Z72" si="1">SUM(AA41:AC41)</f>
        <v>4010</v>
      </c>
      <c r="AA41" s="109">
        <v>1604</v>
      </c>
      <c r="AB41" s="80"/>
      <c r="AC41" s="80">
        <f>(AA41/40)*60</f>
        <v>2406</v>
      </c>
      <c r="AD41" s="105">
        <v>72</v>
      </c>
      <c r="AE41" s="98" t="s">
        <v>802</v>
      </c>
      <c r="AF41" s="113">
        <v>2</v>
      </c>
      <c r="AG41" s="77" t="s">
        <v>803</v>
      </c>
    </row>
    <row r="42" spans="1:33" ht="21.5" thickTop="1" thickBot="1" x14ac:dyDescent="0.85">
      <c r="A42" t="s">
        <v>869</v>
      </c>
      <c r="B42" s="81" t="s">
        <v>870</v>
      </c>
      <c r="C42" s="79" t="s">
        <v>801</v>
      </c>
      <c r="D42" s="79">
        <v>3</v>
      </c>
      <c r="E42" s="133">
        <v>0</v>
      </c>
      <c r="F42" s="133">
        <v>0.41901121000000002</v>
      </c>
      <c r="G42" s="133">
        <v>0.92860882</v>
      </c>
      <c r="H42" s="133">
        <v>0.89247153000000001</v>
      </c>
      <c r="I42" s="133">
        <v>0.17954685999999997</v>
      </c>
      <c r="J42" s="133">
        <v>0</v>
      </c>
      <c r="K42" s="134">
        <v>0</v>
      </c>
      <c r="M42" s="135">
        <v>0</v>
      </c>
      <c r="N42" s="133">
        <v>0</v>
      </c>
      <c r="O42" s="133">
        <v>0</v>
      </c>
      <c r="P42" s="133">
        <v>1.5778399999999998E-3</v>
      </c>
      <c r="Q42" s="133">
        <v>3.44956E-3</v>
      </c>
      <c r="R42" s="133">
        <v>3.49592E-3</v>
      </c>
      <c r="S42" s="134">
        <v>3.2484000000000002E-3</v>
      </c>
      <c r="U42" s="80"/>
      <c r="V42" s="94"/>
      <c r="W42" s="85"/>
      <c r="X42" s="85">
        <v>87</v>
      </c>
      <c r="Y42" s="93">
        <v>10</v>
      </c>
      <c r="Z42" s="107">
        <f t="shared" si="1"/>
        <v>1868.6580000000001</v>
      </c>
      <c r="AA42" s="109">
        <v>806</v>
      </c>
      <c r="AB42" s="80"/>
      <c r="AC42" s="80">
        <f>(1415.65*1.32)-AA42</f>
        <v>1062.6580000000001</v>
      </c>
      <c r="AD42" s="105">
        <v>77</v>
      </c>
      <c r="AE42" s="98" t="s">
        <v>802</v>
      </c>
      <c r="AF42" s="114"/>
      <c r="AG42" s="77" t="s">
        <v>803</v>
      </c>
    </row>
    <row r="43" spans="1:33" ht="21.5" thickTop="1" thickBot="1" x14ac:dyDescent="0.85">
      <c r="A43" t="s">
        <v>871</v>
      </c>
      <c r="B43" s="81" t="s">
        <v>872</v>
      </c>
      <c r="C43" s="79" t="s">
        <v>801</v>
      </c>
      <c r="D43" s="79">
        <v>3</v>
      </c>
      <c r="E43" s="133">
        <v>0</v>
      </c>
      <c r="F43" s="133">
        <v>0</v>
      </c>
      <c r="G43" s="133">
        <v>2.7433900000000001E-3</v>
      </c>
      <c r="H43" s="133">
        <v>0.37707134999999997</v>
      </c>
      <c r="I43" s="133">
        <v>0.66998248999999999</v>
      </c>
      <c r="J43" s="133">
        <v>0.51606167999999997</v>
      </c>
      <c r="K43" s="134">
        <v>0</v>
      </c>
      <c r="M43" s="135">
        <v>0</v>
      </c>
      <c r="N43" s="133">
        <v>0</v>
      </c>
      <c r="O43" s="133">
        <v>0</v>
      </c>
      <c r="P43" s="133">
        <v>0</v>
      </c>
      <c r="Q43" s="133">
        <v>0</v>
      </c>
      <c r="R43" s="133">
        <v>5.9327999999999996E-4</v>
      </c>
      <c r="S43" s="134">
        <v>1.1865599999999999E-3</v>
      </c>
      <c r="U43" s="80"/>
      <c r="V43" s="94"/>
      <c r="W43" s="85"/>
      <c r="X43" s="90">
        <v>33</v>
      </c>
      <c r="Y43" s="93">
        <v>10</v>
      </c>
      <c r="Z43" s="107">
        <f t="shared" si="1"/>
        <v>418.8</v>
      </c>
      <c r="AA43" s="109">
        <v>168</v>
      </c>
      <c r="AB43" s="80"/>
      <c r="AC43" s="109">
        <f>418.8-AA43</f>
        <v>250.8</v>
      </c>
      <c r="AD43" s="105">
        <v>31</v>
      </c>
      <c r="AE43" s="98" t="s">
        <v>802</v>
      </c>
      <c r="AF43" s="113"/>
      <c r="AG43" s="77" t="s">
        <v>803</v>
      </c>
    </row>
    <row r="44" spans="1:33" ht="21.5" thickTop="1" thickBot="1" x14ac:dyDescent="0.85">
      <c r="A44" t="s">
        <v>873</v>
      </c>
      <c r="B44" s="81" t="s">
        <v>874</v>
      </c>
      <c r="C44" s="79" t="s">
        <v>801</v>
      </c>
      <c r="D44" s="79">
        <v>3</v>
      </c>
      <c r="E44" s="133">
        <v>0</v>
      </c>
      <c r="F44" s="133">
        <v>0.65519433999999999</v>
      </c>
      <c r="G44" s="133">
        <v>0.75879679</v>
      </c>
      <c r="H44" s="133">
        <v>0.21679885000000002</v>
      </c>
      <c r="I44" s="133">
        <v>0</v>
      </c>
      <c r="J44" s="133">
        <v>0</v>
      </c>
      <c r="K44" s="134">
        <v>0</v>
      </c>
      <c r="M44" s="135">
        <v>0</v>
      </c>
      <c r="N44" s="133">
        <v>0</v>
      </c>
      <c r="O44" s="133">
        <v>0</v>
      </c>
      <c r="P44" s="133">
        <v>0</v>
      </c>
      <c r="Q44" s="133">
        <v>0</v>
      </c>
      <c r="R44" s="133">
        <v>0</v>
      </c>
      <c r="S44" s="134">
        <v>0</v>
      </c>
      <c r="U44" s="80"/>
      <c r="V44" s="94"/>
      <c r="W44" s="85"/>
      <c r="X44" s="85">
        <v>44</v>
      </c>
      <c r="Y44" s="93">
        <v>10</v>
      </c>
      <c r="Z44" s="107">
        <f t="shared" si="1"/>
        <v>66.53</v>
      </c>
      <c r="AA44" s="80"/>
      <c r="AB44" s="80"/>
      <c r="AC44" s="80">
        <v>66.53</v>
      </c>
      <c r="AD44" s="105">
        <v>34</v>
      </c>
      <c r="AE44" s="100" t="s">
        <v>802</v>
      </c>
      <c r="AF44" s="114"/>
      <c r="AG44" s="77" t="s">
        <v>803</v>
      </c>
    </row>
    <row r="45" spans="1:33" ht="21.5" thickTop="1" thickBot="1" x14ac:dyDescent="0.85">
      <c r="A45" t="s">
        <v>875</v>
      </c>
      <c r="B45" s="81" t="s">
        <v>876</v>
      </c>
      <c r="C45" s="79" t="s">
        <v>801</v>
      </c>
      <c r="D45" s="79">
        <v>3</v>
      </c>
      <c r="E45" s="133">
        <v>0</v>
      </c>
      <c r="F45" s="133">
        <v>0.20619654999999998</v>
      </c>
      <c r="G45" s="133">
        <v>0.31641396999999999</v>
      </c>
      <c r="H45" s="133">
        <v>0.17985413</v>
      </c>
      <c r="I45" s="133">
        <v>0</v>
      </c>
      <c r="J45" s="133">
        <v>0</v>
      </c>
      <c r="K45" s="134">
        <v>0</v>
      </c>
      <c r="M45" s="135">
        <v>0</v>
      </c>
      <c r="N45" s="133">
        <v>0</v>
      </c>
      <c r="O45" s="133">
        <v>2.4586000000000003E-4</v>
      </c>
      <c r="P45" s="133">
        <v>1.72102E-3</v>
      </c>
      <c r="Q45" s="133">
        <v>2.9503200000000002E-3</v>
      </c>
      <c r="R45" s="133">
        <v>2.9503200000000002E-3</v>
      </c>
      <c r="S45" s="134">
        <v>2.9503200000000002E-3</v>
      </c>
      <c r="U45" s="80"/>
      <c r="V45" s="94"/>
      <c r="W45" s="85"/>
      <c r="X45" s="87">
        <v>60</v>
      </c>
      <c r="Y45" s="93">
        <v>10</v>
      </c>
      <c r="Z45" s="107">
        <f t="shared" si="1"/>
        <v>168</v>
      </c>
      <c r="AA45" s="123">
        <v>168</v>
      </c>
      <c r="AB45" s="80"/>
      <c r="AC45" s="80"/>
      <c r="AD45" s="105">
        <v>50</v>
      </c>
      <c r="AE45" s="98" t="s">
        <v>802</v>
      </c>
      <c r="AF45" s="114"/>
      <c r="AG45" s="77" t="s">
        <v>814</v>
      </c>
    </row>
    <row r="46" spans="1:33" ht="21.5" thickTop="1" thickBot="1" x14ac:dyDescent="0.85">
      <c r="A46" t="s">
        <v>877</v>
      </c>
      <c r="B46" s="81" t="s">
        <v>878</v>
      </c>
      <c r="C46" s="79" t="s">
        <v>801</v>
      </c>
      <c r="D46" s="79">
        <v>3</v>
      </c>
      <c r="E46" s="133">
        <v>0</v>
      </c>
      <c r="F46" s="133">
        <v>0.24194052999999999</v>
      </c>
      <c r="G46" s="133">
        <v>0.39788292999999997</v>
      </c>
      <c r="H46" s="133">
        <v>0.25543017000000001</v>
      </c>
      <c r="I46" s="133">
        <v>0</v>
      </c>
      <c r="J46" s="133">
        <v>0</v>
      </c>
      <c r="K46" s="134">
        <v>0</v>
      </c>
      <c r="M46" s="135">
        <v>0</v>
      </c>
      <c r="N46" s="133">
        <v>0</v>
      </c>
      <c r="O46" s="133">
        <v>1.3375E-4</v>
      </c>
      <c r="P46" s="133">
        <v>1.7387500000000001E-3</v>
      </c>
      <c r="Q46" s="133">
        <v>3.2100000000000002E-3</v>
      </c>
      <c r="R46" s="133">
        <v>3.2100000000000002E-3</v>
      </c>
      <c r="S46" s="134">
        <v>3.2100000000000002E-3</v>
      </c>
      <c r="U46" s="80"/>
      <c r="V46" s="94"/>
      <c r="W46" s="85"/>
      <c r="X46" s="90">
        <v>57</v>
      </c>
      <c r="Y46" s="93">
        <v>10</v>
      </c>
      <c r="Z46" s="107">
        <f t="shared" si="1"/>
        <v>330.44</v>
      </c>
      <c r="AA46" s="109">
        <v>330.44</v>
      </c>
      <c r="AB46" s="80"/>
      <c r="AC46" s="80"/>
      <c r="AD46" s="105">
        <v>47</v>
      </c>
      <c r="AE46" s="98" t="s">
        <v>802</v>
      </c>
      <c r="AF46" s="114"/>
      <c r="AG46" s="77" t="s">
        <v>803</v>
      </c>
    </row>
    <row r="47" spans="1:33" ht="21.5" thickTop="1" thickBot="1" x14ac:dyDescent="0.85">
      <c r="A47" t="s">
        <v>879</v>
      </c>
      <c r="B47" s="81" t="s">
        <v>880</v>
      </c>
      <c r="C47" s="79" t="s">
        <v>801</v>
      </c>
      <c r="D47" s="79">
        <v>3</v>
      </c>
      <c r="E47" s="133">
        <v>0</v>
      </c>
      <c r="F47" s="133">
        <v>1.14719832</v>
      </c>
      <c r="G47" s="133">
        <v>1.7207973600000002</v>
      </c>
      <c r="H47" s="133">
        <v>0</v>
      </c>
      <c r="I47" s="133">
        <v>0</v>
      </c>
      <c r="J47" s="133">
        <v>0</v>
      </c>
      <c r="K47" s="134">
        <v>0</v>
      </c>
      <c r="M47" s="135">
        <v>0</v>
      </c>
      <c r="N47" s="133">
        <v>0</v>
      </c>
      <c r="O47" s="133">
        <v>4.8913199999999993E-3</v>
      </c>
      <c r="P47" s="133">
        <v>9.7825200000000011E-3</v>
      </c>
      <c r="Q47" s="133">
        <v>9.7824000000000001E-3</v>
      </c>
      <c r="R47" s="133">
        <v>9.7824000000000001E-3</v>
      </c>
      <c r="S47" s="134">
        <v>9.7824000000000001E-3</v>
      </c>
      <c r="U47" s="80"/>
      <c r="V47" s="155"/>
      <c r="W47" s="87"/>
      <c r="X47" s="154">
        <v>16.3333333333333</v>
      </c>
      <c r="Y47" s="93">
        <v>10</v>
      </c>
      <c r="Z47" s="107">
        <f t="shared" si="1"/>
        <v>700</v>
      </c>
      <c r="AA47" s="123">
        <v>700</v>
      </c>
      <c r="AB47" s="80"/>
      <c r="AC47" s="80"/>
      <c r="AD47" s="105">
        <v>14.3333333333333</v>
      </c>
      <c r="AE47" s="101" t="s">
        <v>802</v>
      </c>
      <c r="AF47" s="113">
        <v>2</v>
      </c>
      <c r="AG47" s="77" t="s">
        <v>803</v>
      </c>
    </row>
    <row r="48" spans="1:33" ht="21.5" thickTop="1" thickBot="1" x14ac:dyDescent="0.85">
      <c r="A48" t="s">
        <v>881</v>
      </c>
      <c r="B48" s="81" t="s">
        <v>882</v>
      </c>
      <c r="C48" s="79" t="s">
        <v>801</v>
      </c>
      <c r="D48" s="79">
        <v>3</v>
      </c>
      <c r="E48" s="133">
        <v>0</v>
      </c>
      <c r="F48" s="133">
        <v>7.3542E-3</v>
      </c>
      <c r="G48" s="133">
        <v>0</v>
      </c>
      <c r="H48" s="133">
        <v>0</v>
      </c>
      <c r="I48" s="133">
        <v>0</v>
      </c>
      <c r="J48" s="133">
        <v>0</v>
      </c>
      <c r="K48" s="134">
        <v>0</v>
      </c>
      <c r="M48" s="135">
        <v>0</v>
      </c>
      <c r="N48" s="133">
        <v>0</v>
      </c>
      <c r="O48" s="133">
        <v>0</v>
      </c>
      <c r="P48" s="133">
        <v>0</v>
      </c>
      <c r="Q48" s="133">
        <v>0</v>
      </c>
      <c r="R48" s="133">
        <v>0</v>
      </c>
      <c r="S48" s="134">
        <v>0</v>
      </c>
      <c r="U48" s="90">
        <v>40</v>
      </c>
      <c r="V48" s="94">
        <v>53</v>
      </c>
      <c r="W48" s="85">
        <v>11</v>
      </c>
      <c r="X48" s="85">
        <v>30</v>
      </c>
      <c r="Y48" s="93">
        <v>10</v>
      </c>
      <c r="Z48" s="107">
        <f t="shared" si="1"/>
        <v>1.92</v>
      </c>
      <c r="AA48" s="107">
        <f>1.92</f>
        <v>1.92</v>
      </c>
      <c r="AB48" s="80"/>
      <c r="AC48" s="80"/>
      <c r="AD48" s="105">
        <v>30</v>
      </c>
      <c r="AE48" s="98"/>
      <c r="AF48" s="113"/>
      <c r="AG48" s="77" t="s">
        <v>803</v>
      </c>
    </row>
    <row r="49" spans="1:33" ht="21.5" thickTop="1" thickBot="1" x14ac:dyDescent="0.85">
      <c r="A49" t="s">
        <v>883</v>
      </c>
      <c r="B49" s="81" t="s">
        <v>884</v>
      </c>
      <c r="C49" s="79" t="s">
        <v>801</v>
      </c>
      <c r="D49" s="79">
        <v>3</v>
      </c>
      <c r="E49" s="133">
        <v>0</v>
      </c>
      <c r="F49" s="133">
        <v>0.29284434999999998</v>
      </c>
      <c r="G49" s="133">
        <v>0.54725006999999992</v>
      </c>
      <c r="H49" s="133">
        <v>0.42169911999999998</v>
      </c>
      <c r="I49" s="133">
        <v>2.2234220000000002E-2</v>
      </c>
      <c r="J49" s="133">
        <v>0</v>
      </c>
      <c r="K49" s="134">
        <v>0</v>
      </c>
      <c r="M49" s="135">
        <v>0</v>
      </c>
      <c r="N49" s="133">
        <v>0</v>
      </c>
      <c r="O49" s="133">
        <v>0</v>
      </c>
      <c r="P49" s="133">
        <v>3.1943999999999999E-4</v>
      </c>
      <c r="Q49" s="133">
        <v>6.6791999999999991E-4</v>
      </c>
      <c r="R49" s="133">
        <v>6.9685000000000005E-4</v>
      </c>
      <c r="S49" s="134">
        <v>6.9684E-4</v>
      </c>
      <c r="U49" s="90">
        <v>61</v>
      </c>
      <c r="V49" s="94">
        <v>37</v>
      </c>
      <c r="W49" s="85">
        <v>30</v>
      </c>
      <c r="X49" s="90">
        <v>15</v>
      </c>
      <c r="Y49" s="93">
        <v>10</v>
      </c>
      <c r="Z49" s="107">
        <f t="shared" si="1"/>
        <v>284</v>
      </c>
      <c r="AA49" s="121">
        <v>108</v>
      </c>
      <c r="AB49" s="80"/>
      <c r="AC49" s="109">
        <f>284-AA49</f>
        <v>176</v>
      </c>
      <c r="AD49" s="105">
        <v>23.5</v>
      </c>
      <c r="AE49" s="98" t="s">
        <v>802</v>
      </c>
      <c r="AF49" s="114"/>
      <c r="AG49" s="77" t="s">
        <v>814</v>
      </c>
    </row>
    <row r="50" spans="1:33" ht="16.5" customHeight="1" thickTop="1" thickBot="1" x14ac:dyDescent="0.85">
      <c r="A50" t="s">
        <v>885</v>
      </c>
      <c r="B50" s="81" t="s">
        <v>886</v>
      </c>
      <c r="C50" s="79" t="s">
        <v>801</v>
      </c>
      <c r="D50" s="79">
        <v>3</v>
      </c>
      <c r="E50" s="133">
        <v>0.1724406</v>
      </c>
      <c r="F50" s="133">
        <v>2.2153207599999996</v>
      </c>
      <c r="G50" s="133">
        <v>2.2153207599999996</v>
      </c>
      <c r="H50" s="133">
        <v>0</v>
      </c>
      <c r="I50" s="133">
        <v>0</v>
      </c>
      <c r="J50" s="133">
        <v>0</v>
      </c>
      <c r="K50" s="134">
        <v>0</v>
      </c>
      <c r="M50" s="135">
        <v>0</v>
      </c>
      <c r="N50" s="133">
        <v>0</v>
      </c>
      <c r="O50" s="133">
        <v>0</v>
      </c>
      <c r="P50" s="133">
        <v>5.08764E-3</v>
      </c>
      <c r="Q50" s="133">
        <v>5.0877600000000002E-3</v>
      </c>
      <c r="R50" s="133">
        <v>5.0877600000000002E-3</v>
      </c>
      <c r="S50" s="134">
        <v>5.0877600000000002E-3</v>
      </c>
      <c r="U50" s="80"/>
      <c r="V50" s="94"/>
      <c r="W50" s="85"/>
      <c r="X50" s="90">
        <v>76</v>
      </c>
      <c r="Y50" s="93">
        <v>10</v>
      </c>
      <c r="Z50" s="107">
        <f t="shared" si="1"/>
        <v>3422.43</v>
      </c>
      <c r="AA50" s="109">
        <v>3422.43</v>
      </c>
      <c r="AB50" s="127"/>
      <c r="AC50" s="80"/>
      <c r="AD50" s="105">
        <v>66</v>
      </c>
      <c r="AE50" s="98" t="s">
        <v>802</v>
      </c>
      <c r="AF50" s="114"/>
      <c r="AG50" s="77" t="s">
        <v>814</v>
      </c>
    </row>
    <row r="51" spans="1:33" ht="21.5" thickTop="1" thickBot="1" x14ac:dyDescent="0.85">
      <c r="A51" t="s">
        <v>887</v>
      </c>
      <c r="B51" s="81" t="s">
        <v>888</v>
      </c>
      <c r="C51" s="79" t="s">
        <v>801</v>
      </c>
      <c r="D51" s="79">
        <v>3</v>
      </c>
      <c r="E51" s="133">
        <v>0</v>
      </c>
      <c r="F51" s="133">
        <v>0.26870146</v>
      </c>
      <c r="G51" s="133">
        <v>0.44189267999999998</v>
      </c>
      <c r="H51" s="133">
        <v>0.28368325</v>
      </c>
      <c r="I51" s="133">
        <v>0</v>
      </c>
      <c r="J51" s="133">
        <v>0</v>
      </c>
      <c r="K51" s="134">
        <v>0</v>
      </c>
      <c r="M51" s="135">
        <v>0</v>
      </c>
      <c r="N51" s="133">
        <v>0</v>
      </c>
      <c r="O51" s="133">
        <v>1.3184000000000001E-4</v>
      </c>
      <c r="P51" s="133">
        <v>1.7139200000000001E-3</v>
      </c>
      <c r="Q51" s="133">
        <v>3.1641500000000001E-3</v>
      </c>
      <c r="R51" s="133">
        <v>3.1640399999999999E-3</v>
      </c>
      <c r="S51" s="134">
        <v>3.1640399999999999E-3</v>
      </c>
      <c r="U51" s="80"/>
      <c r="V51" s="94"/>
      <c r="W51" s="85"/>
      <c r="X51" s="90">
        <v>166</v>
      </c>
      <c r="Y51" s="93">
        <v>10</v>
      </c>
      <c r="Z51" s="107">
        <f t="shared" si="1"/>
        <v>403.2</v>
      </c>
      <c r="AA51" s="109">
        <v>403.2</v>
      </c>
      <c r="AB51" s="80"/>
      <c r="AC51" s="80"/>
      <c r="AD51" s="105">
        <v>156</v>
      </c>
      <c r="AE51" s="98" t="s">
        <v>802</v>
      </c>
      <c r="AF51" s="114"/>
      <c r="AG51" s="77" t="s">
        <v>803</v>
      </c>
    </row>
    <row r="52" spans="1:33" ht="21.5" thickTop="1" thickBot="1" x14ac:dyDescent="0.85">
      <c r="A52" s="129" t="s">
        <v>889</v>
      </c>
      <c r="B52" s="81" t="s">
        <v>890</v>
      </c>
      <c r="C52" s="79" t="s">
        <v>801</v>
      </c>
      <c r="D52" s="79">
        <v>3</v>
      </c>
      <c r="E52" s="133">
        <v>0.25633332000000003</v>
      </c>
      <c r="F52" s="133">
        <v>0.18567648</v>
      </c>
      <c r="G52" s="133">
        <v>0.18567648</v>
      </c>
      <c r="H52" s="133">
        <v>0</v>
      </c>
      <c r="I52" s="133">
        <v>0</v>
      </c>
      <c r="J52" s="133">
        <v>0</v>
      </c>
      <c r="K52" s="134">
        <v>0</v>
      </c>
      <c r="M52" s="135">
        <v>0</v>
      </c>
      <c r="N52" s="133">
        <v>0</v>
      </c>
      <c r="O52" s="133">
        <v>1.46904E-3</v>
      </c>
      <c r="P52" s="133">
        <v>2.9381999999999998E-3</v>
      </c>
      <c r="Q52" s="133">
        <v>2.9381999999999998E-3</v>
      </c>
      <c r="R52" s="133">
        <v>2.9381999999999998E-3</v>
      </c>
      <c r="S52" s="134">
        <v>2.9381999999999998E-3</v>
      </c>
      <c r="U52" s="90">
        <v>13</v>
      </c>
      <c r="V52" s="94">
        <v>59</v>
      </c>
      <c r="W52" s="85">
        <v>34</v>
      </c>
      <c r="X52" s="85">
        <v>0</v>
      </c>
      <c r="Y52" s="93">
        <v>10</v>
      </c>
      <c r="Z52" s="107">
        <f t="shared" si="1"/>
        <v>120</v>
      </c>
      <c r="AA52" s="109">
        <v>120</v>
      </c>
      <c r="AB52" s="80"/>
      <c r="AC52" s="80"/>
      <c r="AD52" s="105">
        <v>36.5</v>
      </c>
      <c r="AE52" s="98"/>
      <c r="AF52" s="115"/>
      <c r="AG52" s="77" t="s">
        <v>814</v>
      </c>
    </row>
    <row r="53" spans="1:33" ht="21.5" thickTop="1" thickBot="1" x14ac:dyDescent="0.85">
      <c r="A53" s="129" t="s">
        <v>891</v>
      </c>
      <c r="B53" s="81" t="s">
        <v>892</v>
      </c>
      <c r="C53" s="79" t="s">
        <v>801</v>
      </c>
      <c r="D53" s="79">
        <v>3</v>
      </c>
      <c r="E53" s="133">
        <v>0.25633332000000003</v>
      </c>
      <c r="F53" s="133">
        <v>0.18567648</v>
      </c>
      <c r="G53" s="133">
        <v>0.18567648</v>
      </c>
      <c r="H53" s="133">
        <v>0</v>
      </c>
      <c r="I53" s="133">
        <v>0</v>
      </c>
      <c r="J53" s="133">
        <v>0</v>
      </c>
      <c r="K53" s="134">
        <v>0</v>
      </c>
      <c r="M53" s="135">
        <v>0</v>
      </c>
      <c r="N53" s="133">
        <v>0</v>
      </c>
      <c r="O53" s="133">
        <v>1.46904E-3</v>
      </c>
      <c r="P53" s="133">
        <v>2.9381999999999998E-3</v>
      </c>
      <c r="Q53" s="133">
        <v>2.9381999999999998E-3</v>
      </c>
      <c r="R53" s="133">
        <v>2.9381999999999998E-3</v>
      </c>
      <c r="S53" s="134">
        <v>2.9381999999999998E-3</v>
      </c>
      <c r="U53" s="90">
        <v>53</v>
      </c>
      <c r="V53" s="94">
        <v>59</v>
      </c>
      <c r="W53" s="85">
        <v>34</v>
      </c>
      <c r="X53" s="90">
        <v>2</v>
      </c>
      <c r="Y53" s="93">
        <v>10</v>
      </c>
      <c r="Z53" s="107">
        <f t="shared" si="1"/>
        <v>120</v>
      </c>
      <c r="AA53" s="109">
        <v>120</v>
      </c>
      <c r="AB53" s="80"/>
      <c r="AC53" s="80"/>
      <c r="AD53" s="105">
        <v>36.5</v>
      </c>
      <c r="AE53" s="98"/>
      <c r="AF53" s="115"/>
      <c r="AG53" s="77" t="s">
        <v>814</v>
      </c>
    </row>
    <row r="54" spans="1:33" ht="16.5" customHeight="1" thickTop="1" thickBot="1" x14ac:dyDescent="0.85">
      <c r="A54" s="145" t="s">
        <v>893</v>
      </c>
      <c r="B54" s="160" t="s">
        <v>894</v>
      </c>
      <c r="C54" s="79" t="s">
        <v>801</v>
      </c>
      <c r="D54" s="79">
        <v>3</v>
      </c>
      <c r="E54" s="147">
        <v>0.75566699519999991</v>
      </c>
      <c r="F54" s="147">
        <v>0.54737173920000004</v>
      </c>
      <c r="G54" s="147">
        <v>0.54737173920000004</v>
      </c>
      <c r="H54" s="147">
        <v>0</v>
      </c>
      <c r="I54" s="147">
        <v>0</v>
      </c>
      <c r="J54" s="147">
        <v>0</v>
      </c>
      <c r="K54" s="148">
        <v>0</v>
      </c>
      <c r="M54" s="149">
        <v>0</v>
      </c>
      <c r="N54" s="147">
        <v>0</v>
      </c>
      <c r="O54" s="147">
        <v>0</v>
      </c>
      <c r="P54" s="147">
        <v>0.10437797759999999</v>
      </c>
      <c r="Q54" s="147">
        <v>0.1043779464</v>
      </c>
      <c r="R54" s="147">
        <v>0.1043779464</v>
      </c>
      <c r="S54" s="148">
        <v>0.1043779464</v>
      </c>
      <c r="U54" s="80"/>
      <c r="V54" s="155"/>
      <c r="W54" s="87"/>
      <c r="X54" s="154">
        <v>87</v>
      </c>
      <c r="Y54" s="93">
        <v>10</v>
      </c>
      <c r="Z54" s="107">
        <f t="shared" si="1"/>
        <v>1660</v>
      </c>
      <c r="AA54" s="109">
        <v>1660</v>
      </c>
      <c r="AB54" s="80"/>
      <c r="AC54" s="80"/>
      <c r="AD54" s="105">
        <v>77</v>
      </c>
      <c r="AE54" s="101" t="s">
        <v>802</v>
      </c>
      <c r="AF54" s="115"/>
      <c r="AG54" s="77" t="s">
        <v>803</v>
      </c>
    </row>
    <row r="55" spans="1:33" ht="16.5" customHeight="1" thickTop="1" thickBot="1" x14ac:dyDescent="0.85">
      <c r="A55" t="s">
        <v>895</v>
      </c>
      <c r="B55" s="81" t="s">
        <v>896</v>
      </c>
      <c r="C55" s="79" t="s">
        <v>801</v>
      </c>
      <c r="D55" s="79">
        <v>3</v>
      </c>
      <c r="E55" s="133">
        <v>0</v>
      </c>
      <c r="F55" s="133">
        <v>0</v>
      </c>
      <c r="G55" s="133">
        <v>2.604368E-2</v>
      </c>
      <c r="H55" s="133">
        <v>0.46345509000000001</v>
      </c>
      <c r="I55" s="133">
        <v>0.78677428000000005</v>
      </c>
      <c r="J55" s="133">
        <v>0.56336005</v>
      </c>
      <c r="K55" s="134">
        <v>0</v>
      </c>
      <c r="M55" s="135">
        <v>0</v>
      </c>
      <c r="N55" s="133">
        <v>0</v>
      </c>
      <c r="O55" s="133">
        <v>0</v>
      </c>
      <c r="P55" s="133">
        <v>0</v>
      </c>
      <c r="Q55" s="133">
        <v>0</v>
      </c>
      <c r="R55" s="133">
        <v>1.7094E-3</v>
      </c>
      <c r="S55" s="134">
        <v>3.4188000000000001E-3</v>
      </c>
      <c r="U55" s="90">
        <v>32</v>
      </c>
      <c r="V55" s="94">
        <v>24</v>
      </c>
      <c r="W55" s="85">
        <v>18</v>
      </c>
      <c r="X55" s="90">
        <v>45</v>
      </c>
      <c r="Y55" s="93">
        <v>10</v>
      </c>
      <c r="Z55" s="107">
        <f t="shared" si="1"/>
        <v>1129.71</v>
      </c>
      <c r="AA55" s="109">
        <v>1129.71</v>
      </c>
      <c r="AB55" s="80"/>
      <c r="AC55" s="80"/>
      <c r="AD55" s="105">
        <v>11</v>
      </c>
      <c r="AE55" s="98" t="s">
        <v>802</v>
      </c>
      <c r="AF55" s="114"/>
      <c r="AG55" s="77" t="s">
        <v>803</v>
      </c>
    </row>
    <row r="56" spans="1:33" ht="21.5" thickTop="1" thickBot="1" x14ac:dyDescent="0.85">
      <c r="A56" t="s">
        <v>897</v>
      </c>
      <c r="B56" s="81" t="s">
        <v>898</v>
      </c>
      <c r="C56" s="79" t="s">
        <v>801</v>
      </c>
      <c r="D56" s="79">
        <v>3</v>
      </c>
      <c r="E56" s="133">
        <v>0</v>
      </c>
      <c r="F56" s="133">
        <v>2.1318049999999998E-2</v>
      </c>
      <c r="G56" s="133">
        <v>6.1412599999999999E-3</v>
      </c>
      <c r="H56" s="133">
        <v>0</v>
      </c>
      <c r="I56" s="133">
        <v>0</v>
      </c>
      <c r="J56" s="133">
        <v>0</v>
      </c>
      <c r="K56" s="134">
        <v>0</v>
      </c>
      <c r="M56" s="135">
        <v>0</v>
      </c>
      <c r="N56" s="133">
        <v>0</v>
      </c>
      <c r="O56" s="133">
        <v>0</v>
      </c>
      <c r="P56" s="133">
        <v>0</v>
      </c>
      <c r="Q56" s="133">
        <v>0</v>
      </c>
      <c r="R56" s="133">
        <v>0</v>
      </c>
      <c r="S56" s="134">
        <v>0</v>
      </c>
      <c r="U56" s="90">
        <v>49</v>
      </c>
      <c r="V56" s="94">
        <v>59</v>
      </c>
      <c r="W56" s="85">
        <v>45</v>
      </c>
      <c r="X56" s="85">
        <v>14</v>
      </c>
      <c r="Y56" s="93">
        <v>10</v>
      </c>
      <c r="Z56" s="107">
        <f t="shared" si="1"/>
        <v>4.7519999999999998</v>
      </c>
      <c r="AA56" s="107">
        <f>4.752</f>
        <v>4.7519999999999998</v>
      </c>
      <c r="AB56" s="80"/>
      <c r="AC56" s="80"/>
      <c r="AD56" s="105">
        <v>4</v>
      </c>
      <c r="AE56" s="98" t="s">
        <v>802</v>
      </c>
      <c r="AF56" s="113"/>
      <c r="AG56" s="77" t="s">
        <v>814</v>
      </c>
    </row>
    <row r="57" spans="1:33" ht="21.5" thickTop="1" thickBot="1" x14ac:dyDescent="0.85">
      <c r="A57" t="s">
        <v>899</v>
      </c>
      <c r="B57" s="81" t="s">
        <v>900</v>
      </c>
      <c r="C57" s="79" t="s">
        <v>801</v>
      </c>
      <c r="D57" s="79">
        <v>3</v>
      </c>
      <c r="E57" s="133">
        <v>0</v>
      </c>
      <c r="F57" s="133">
        <v>1.3781219999999999E-2</v>
      </c>
      <c r="G57" s="133">
        <v>1.5960389999999998E-2</v>
      </c>
      <c r="H57" s="133">
        <v>4.5601000000000001E-3</v>
      </c>
      <c r="I57" s="133">
        <v>0</v>
      </c>
      <c r="J57" s="133">
        <v>0</v>
      </c>
      <c r="K57" s="134">
        <v>0</v>
      </c>
      <c r="M57" s="135">
        <v>0</v>
      </c>
      <c r="N57" s="133">
        <v>0</v>
      </c>
      <c r="O57" s="133">
        <v>0</v>
      </c>
      <c r="P57" s="133">
        <v>0</v>
      </c>
      <c r="Q57" s="133">
        <v>0</v>
      </c>
      <c r="R57" s="133">
        <v>0</v>
      </c>
      <c r="S57" s="134">
        <v>0</v>
      </c>
      <c r="U57" s="90">
        <v>59</v>
      </c>
      <c r="V57" s="94">
        <v>59</v>
      </c>
      <c r="W57" s="87">
        <v>42</v>
      </c>
      <c r="X57" s="85">
        <v>56</v>
      </c>
      <c r="Y57" s="93">
        <v>10</v>
      </c>
      <c r="Z57" s="107">
        <f t="shared" si="1"/>
        <v>192</v>
      </c>
      <c r="AA57" s="80"/>
      <c r="AB57" s="80"/>
      <c r="AC57" s="80">
        <v>192</v>
      </c>
      <c r="AD57" s="105">
        <v>40.5</v>
      </c>
      <c r="AE57" s="98" t="s">
        <v>802</v>
      </c>
      <c r="AF57" s="115"/>
      <c r="AG57" s="77" t="s">
        <v>814</v>
      </c>
    </row>
    <row r="58" spans="1:33" ht="21.5" thickTop="1" thickBot="1" x14ac:dyDescent="0.85">
      <c r="A58" t="s">
        <v>901</v>
      </c>
      <c r="B58" s="81" t="s">
        <v>902</v>
      </c>
      <c r="C58" s="79" t="s">
        <v>801</v>
      </c>
      <c r="D58" s="79">
        <v>3</v>
      </c>
      <c r="E58" s="133">
        <v>0</v>
      </c>
      <c r="F58" s="133">
        <v>0.24792657999999998</v>
      </c>
      <c r="G58" s="133">
        <v>0.38044974999999998</v>
      </c>
      <c r="H58" s="133">
        <v>0.21625295</v>
      </c>
      <c r="I58" s="133">
        <v>0</v>
      </c>
      <c r="J58" s="133">
        <v>0</v>
      </c>
      <c r="K58" s="134">
        <v>0</v>
      </c>
      <c r="M58" s="135">
        <v>0</v>
      </c>
      <c r="N58" s="133">
        <v>0</v>
      </c>
      <c r="O58" s="133">
        <v>2.4847999999999998E-4</v>
      </c>
      <c r="P58" s="133">
        <v>1.7393599999999999E-3</v>
      </c>
      <c r="Q58" s="133">
        <v>2.9817600000000004E-3</v>
      </c>
      <c r="R58" s="133">
        <v>2.9817600000000004E-3</v>
      </c>
      <c r="S58" s="134">
        <v>2.9817600000000004E-3</v>
      </c>
      <c r="U58" s="90">
        <v>136</v>
      </c>
      <c r="V58" s="94">
        <v>114</v>
      </c>
      <c r="W58" s="85">
        <v>72</v>
      </c>
      <c r="X58" s="85">
        <v>40</v>
      </c>
      <c r="Y58" s="93">
        <v>10</v>
      </c>
      <c r="Z58" s="107">
        <f t="shared" si="1"/>
        <v>289.02999999999997</v>
      </c>
      <c r="AA58" s="109">
        <v>289.02999999999997</v>
      </c>
      <c r="AB58" s="80"/>
      <c r="AC58" s="80"/>
      <c r="AD58" s="105">
        <v>83</v>
      </c>
      <c r="AE58" s="98" t="s">
        <v>802</v>
      </c>
      <c r="AF58" s="114"/>
      <c r="AG58" s="77" t="s">
        <v>814</v>
      </c>
    </row>
    <row r="59" spans="1:33" ht="21.5" thickTop="1" thickBot="1" x14ac:dyDescent="0.85">
      <c r="A59" t="s">
        <v>903</v>
      </c>
      <c r="B59" s="81" t="s">
        <v>904</v>
      </c>
      <c r="C59" s="79" t="s">
        <v>801</v>
      </c>
      <c r="D59" s="79">
        <v>3</v>
      </c>
      <c r="E59" s="133">
        <v>0</v>
      </c>
      <c r="F59" s="133">
        <v>0.30562965999999997</v>
      </c>
      <c r="G59" s="133">
        <v>0.35395728999999998</v>
      </c>
      <c r="H59" s="133">
        <v>0.10113053999999999</v>
      </c>
      <c r="I59" s="133">
        <v>0</v>
      </c>
      <c r="J59" s="133">
        <v>0</v>
      </c>
      <c r="K59" s="134">
        <v>0</v>
      </c>
      <c r="M59" s="135">
        <v>0</v>
      </c>
      <c r="N59" s="133">
        <v>0</v>
      </c>
      <c r="O59" s="133">
        <v>0</v>
      </c>
      <c r="P59" s="133">
        <v>0</v>
      </c>
      <c r="Q59" s="133">
        <v>0</v>
      </c>
      <c r="R59" s="133">
        <v>0</v>
      </c>
      <c r="S59" s="134">
        <v>0</v>
      </c>
      <c r="U59" s="90">
        <v>43</v>
      </c>
      <c r="V59" s="94">
        <v>51</v>
      </c>
      <c r="W59" s="85">
        <v>34</v>
      </c>
      <c r="X59" s="85">
        <v>45</v>
      </c>
      <c r="Y59" s="93">
        <v>10</v>
      </c>
      <c r="Z59" s="107">
        <f t="shared" si="1"/>
        <v>392.4</v>
      </c>
      <c r="AA59" s="80"/>
      <c r="AB59" s="169"/>
      <c r="AC59" s="80">
        <v>392.4</v>
      </c>
      <c r="AD59" s="105">
        <v>32.5</v>
      </c>
      <c r="AE59" s="98" t="s">
        <v>802</v>
      </c>
      <c r="AF59" s="114"/>
      <c r="AG59" s="77" t="s">
        <v>814</v>
      </c>
    </row>
    <row r="60" spans="1:33" ht="21.5" thickTop="1" thickBot="1" x14ac:dyDescent="0.85">
      <c r="A60" t="s">
        <v>905</v>
      </c>
      <c r="B60" s="81" t="s">
        <v>906</v>
      </c>
      <c r="C60" s="79" t="s">
        <v>801</v>
      </c>
      <c r="D60" s="79">
        <v>3</v>
      </c>
      <c r="E60" s="133">
        <v>0</v>
      </c>
      <c r="F60" s="133">
        <v>4.5669589999999996E-2</v>
      </c>
      <c r="G60" s="133">
        <v>5.289112E-2</v>
      </c>
      <c r="H60" s="133">
        <v>1.511174E-2</v>
      </c>
      <c r="I60" s="133">
        <v>0</v>
      </c>
      <c r="J60" s="133">
        <v>0</v>
      </c>
      <c r="K60" s="134">
        <v>0</v>
      </c>
      <c r="M60" s="135">
        <v>0</v>
      </c>
      <c r="N60" s="133">
        <v>0</v>
      </c>
      <c r="O60" s="133">
        <v>0</v>
      </c>
      <c r="P60" s="133">
        <v>0</v>
      </c>
      <c r="Q60" s="133">
        <v>0</v>
      </c>
      <c r="R60" s="133">
        <v>0</v>
      </c>
      <c r="S60" s="134">
        <v>0</v>
      </c>
      <c r="U60" s="90">
        <v>49</v>
      </c>
      <c r="V60" s="94">
        <v>61</v>
      </c>
      <c r="W60" s="85">
        <v>44</v>
      </c>
      <c r="X60" s="90">
        <v>26</v>
      </c>
      <c r="Y60" s="93">
        <v>10</v>
      </c>
      <c r="Z60" s="107">
        <f t="shared" si="1"/>
        <v>80.665199999999999</v>
      </c>
      <c r="AA60" s="80"/>
      <c r="AB60" s="80"/>
      <c r="AC60" s="80">
        <f>61.11*1.32</f>
        <v>80.665199999999999</v>
      </c>
      <c r="AD60" s="105">
        <v>42.5</v>
      </c>
      <c r="AE60" s="98" t="s">
        <v>802</v>
      </c>
      <c r="AF60" s="114"/>
      <c r="AG60" s="77" t="s">
        <v>814</v>
      </c>
    </row>
    <row r="61" spans="1:33" ht="21.5" thickTop="1" thickBot="1" x14ac:dyDescent="0.85">
      <c r="A61" t="s">
        <v>907</v>
      </c>
      <c r="B61" s="81" t="s">
        <v>908</v>
      </c>
      <c r="C61" s="79" t="s">
        <v>801</v>
      </c>
      <c r="D61" s="79">
        <v>3</v>
      </c>
      <c r="E61" s="133">
        <v>0</v>
      </c>
      <c r="F61" s="133">
        <v>0</v>
      </c>
      <c r="G61" s="133">
        <v>3.9614000000000001E-4</v>
      </c>
      <c r="H61" s="133">
        <v>3.0744979999999998E-2</v>
      </c>
      <c r="I61" s="133">
        <v>3.1707329999999999E-2</v>
      </c>
      <c r="J61" s="133">
        <v>7.2284300000000001E-3</v>
      </c>
      <c r="K61" s="134">
        <v>0</v>
      </c>
      <c r="M61" s="135">
        <v>0</v>
      </c>
      <c r="N61" s="133">
        <v>0</v>
      </c>
      <c r="O61" s="133">
        <v>0</v>
      </c>
      <c r="P61" s="133">
        <v>0</v>
      </c>
      <c r="Q61" s="133">
        <v>0</v>
      </c>
      <c r="R61" s="133">
        <v>0</v>
      </c>
      <c r="S61" s="134">
        <v>0</v>
      </c>
      <c r="U61" s="90">
        <v>35</v>
      </c>
      <c r="V61" s="94">
        <v>16</v>
      </c>
      <c r="W61" s="85">
        <v>8</v>
      </c>
      <c r="X61" s="90">
        <v>12</v>
      </c>
      <c r="Y61" s="93">
        <v>10</v>
      </c>
      <c r="Z61" s="107">
        <f t="shared" si="1"/>
        <v>9.84</v>
      </c>
      <c r="AA61" s="80"/>
      <c r="AB61" s="80"/>
      <c r="AC61" s="80">
        <v>9.84</v>
      </c>
      <c r="AD61" s="105">
        <v>2</v>
      </c>
      <c r="AE61" s="98" t="s">
        <v>802</v>
      </c>
      <c r="AF61" s="114"/>
      <c r="AG61" s="77" t="s">
        <v>814</v>
      </c>
    </row>
    <row r="62" spans="1:33" ht="16.5" customHeight="1" thickTop="1" thickBot="1" x14ac:dyDescent="0.85">
      <c r="A62" t="s">
        <v>909</v>
      </c>
      <c r="B62" s="81" t="s">
        <v>910</v>
      </c>
      <c r="C62" s="79" t="s">
        <v>801</v>
      </c>
      <c r="D62" s="79">
        <v>3</v>
      </c>
      <c r="E62" s="133">
        <v>0</v>
      </c>
      <c r="F62" s="133">
        <v>0</v>
      </c>
      <c r="G62" s="133">
        <v>0</v>
      </c>
      <c r="H62" s="133">
        <v>0.23986352999999999</v>
      </c>
      <c r="I62" s="133">
        <v>0.44532164000000002</v>
      </c>
      <c r="J62" s="133">
        <v>0.32338634000000005</v>
      </c>
      <c r="K62" s="134">
        <v>0</v>
      </c>
      <c r="M62" s="135">
        <v>0</v>
      </c>
      <c r="N62" s="133">
        <v>0</v>
      </c>
      <c r="O62" s="133">
        <v>0</v>
      </c>
      <c r="P62" s="133">
        <v>0</v>
      </c>
      <c r="Q62" s="133">
        <v>0</v>
      </c>
      <c r="R62" s="133">
        <v>1.6175999999999999E-3</v>
      </c>
      <c r="S62" s="134">
        <v>3.23508E-3</v>
      </c>
      <c r="U62" s="80"/>
      <c r="V62" s="94"/>
      <c r="W62" s="85"/>
      <c r="X62" s="90">
        <v>41</v>
      </c>
      <c r="Y62" s="93">
        <v>10</v>
      </c>
      <c r="Z62" s="107">
        <f t="shared" si="1"/>
        <v>204</v>
      </c>
      <c r="AA62" s="80">
        <v>174</v>
      </c>
      <c r="AB62" s="127"/>
      <c r="AC62" s="132">
        <v>30</v>
      </c>
      <c r="AD62" s="105">
        <v>31</v>
      </c>
      <c r="AE62" s="98" t="s">
        <v>802</v>
      </c>
      <c r="AF62" s="113"/>
      <c r="AG62" s="77" t="s">
        <v>803</v>
      </c>
    </row>
    <row r="63" spans="1:33" ht="21.5" thickTop="1" thickBot="1" x14ac:dyDescent="0.85">
      <c r="A63" t="s">
        <v>911</v>
      </c>
      <c r="B63" s="81" t="s">
        <v>912</v>
      </c>
      <c r="C63" s="79" t="s">
        <v>801</v>
      </c>
      <c r="D63" s="79">
        <v>3</v>
      </c>
      <c r="E63" s="133">
        <v>0</v>
      </c>
      <c r="F63" s="133">
        <v>1.3995157499999999</v>
      </c>
      <c r="G63" s="133">
        <v>1.6208138300000001</v>
      </c>
      <c r="H63" s="133">
        <v>0.46308916</v>
      </c>
      <c r="I63" s="133">
        <v>0</v>
      </c>
      <c r="J63" s="133">
        <v>0</v>
      </c>
      <c r="K63" s="134">
        <v>0</v>
      </c>
      <c r="M63" s="135">
        <v>0</v>
      </c>
      <c r="N63" s="133">
        <v>0</v>
      </c>
      <c r="O63" s="133">
        <v>1.2693099999999998E-3</v>
      </c>
      <c r="P63" s="133">
        <v>3.4452699999999998E-3</v>
      </c>
      <c r="Q63" s="133">
        <v>4.35185E-3</v>
      </c>
      <c r="R63" s="133">
        <v>4.3518000000000003E-3</v>
      </c>
      <c r="S63" s="134">
        <v>4.3518000000000003E-3</v>
      </c>
      <c r="U63" s="90">
        <v>23</v>
      </c>
      <c r="V63" s="94">
        <v>26</v>
      </c>
      <c r="W63" s="85">
        <v>5</v>
      </c>
      <c r="X63" s="90">
        <v>93</v>
      </c>
      <c r="Y63" s="93">
        <v>10</v>
      </c>
      <c r="Z63" s="107">
        <f t="shared" si="1"/>
        <v>3352.6547999999998</v>
      </c>
      <c r="AA63" s="109">
        <v>1341</v>
      </c>
      <c r="AB63" s="80"/>
      <c r="AC63" s="80">
        <f>(2539.89*1.32)-AA63</f>
        <v>2011.6547999999998</v>
      </c>
      <c r="AD63" s="105">
        <v>5.5</v>
      </c>
      <c r="AE63" s="98" t="s">
        <v>802</v>
      </c>
      <c r="AF63" s="114"/>
      <c r="AG63" s="77" t="s">
        <v>814</v>
      </c>
    </row>
    <row r="64" spans="1:33" ht="21.5" thickTop="1" thickBot="1" x14ac:dyDescent="0.85">
      <c r="A64" t="s">
        <v>913</v>
      </c>
      <c r="B64" s="81" t="s">
        <v>914</v>
      </c>
      <c r="C64" s="79" t="s">
        <v>801</v>
      </c>
      <c r="D64" s="79">
        <v>3</v>
      </c>
      <c r="E64" s="133">
        <v>0</v>
      </c>
      <c r="F64" s="133">
        <v>0.33654276</v>
      </c>
      <c r="G64" s="133">
        <v>0.38975852</v>
      </c>
      <c r="H64" s="133">
        <v>0.11135945</v>
      </c>
      <c r="I64" s="133">
        <v>0</v>
      </c>
      <c r="J64" s="133">
        <v>0</v>
      </c>
      <c r="K64" s="134">
        <v>0</v>
      </c>
      <c r="M64" s="135">
        <v>0</v>
      </c>
      <c r="N64" s="133">
        <v>0</v>
      </c>
      <c r="O64" s="133">
        <v>0</v>
      </c>
      <c r="P64" s="133">
        <v>0</v>
      </c>
      <c r="Q64" s="133">
        <v>0</v>
      </c>
      <c r="R64" s="133">
        <v>0</v>
      </c>
      <c r="S64" s="134">
        <v>0</v>
      </c>
      <c r="U64" s="90">
        <v>18</v>
      </c>
      <c r="V64" s="94">
        <v>51</v>
      </c>
      <c r="W64" s="87">
        <v>0</v>
      </c>
      <c r="X64" s="80">
        <v>76</v>
      </c>
      <c r="Y64" s="93">
        <v>10</v>
      </c>
      <c r="Z64" s="107">
        <f t="shared" si="1"/>
        <v>1346.4</v>
      </c>
      <c r="AA64" s="80"/>
      <c r="AB64" s="80"/>
      <c r="AC64" s="80">
        <v>1346.4</v>
      </c>
      <c r="AD64" s="105">
        <v>15.5</v>
      </c>
      <c r="AE64" s="101" t="s">
        <v>802</v>
      </c>
      <c r="AF64" s="115"/>
      <c r="AG64" s="77" t="s">
        <v>814</v>
      </c>
    </row>
    <row r="65" spans="1:33" ht="21.5" thickTop="1" thickBot="1" x14ac:dyDescent="0.85">
      <c r="A65" t="s">
        <v>915</v>
      </c>
      <c r="B65" s="81" t="s">
        <v>916</v>
      </c>
      <c r="C65" s="79" t="s">
        <v>801</v>
      </c>
      <c r="D65" s="79">
        <v>3</v>
      </c>
      <c r="E65" s="133">
        <v>0</v>
      </c>
      <c r="F65" s="133">
        <v>7.8392600000000007E-2</v>
      </c>
      <c r="G65" s="133">
        <v>9.6863829999999998E-2</v>
      </c>
      <c r="H65" s="133">
        <v>3.3064969999999999E-2</v>
      </c>
      <c r="I65" s="133">
        <v>0</v>
      </c>
      <c r="J65" s="133">
        <v>0</v>
      </c>
      <c r="K65" s="134">
        <v>0</v>
      </c>
      <c r="M65" s="135">
        <v>0</v>
      </c>
      <c r="N65" s="133">
        <v>0</v>
      </c>
      <c r="O65" s="133">
        <v>9.6780000000000005E-5</v>
      </c>
      <c r="P65" s="133">
        <v>2.9033999999999999E-4</v>
      </c>
      <c r="Q65" s="133">
        <v>3.8712000000000002E-4</v>
      </c>
      <c r="R65" s="133">
        <v>3.8712000000000002E-4</v>
      </c>
      <c r="S65" s="134">
        <v>3.8712000000000002E-4</v>
      </c>
      <c r="U65" s="80"/>
      <c r="V65" s="94"/>
      <c r="W65" s="85"/>
      <c r="X65" s="90">
        <v>18</v>
      </c>
      <c r="Y65" s="93">
        <v>10</v>
      </c>
      <c r="Z65" s="107">
        <f t="shared" si="1"/>
        <v>57</v>
      </c>
      <c r="AA65" s="107">
        <v>57</v>
      </c>
      <c r="AB65" s="80"/>
      <c r="AC65" s="80"/>
      <c r="AD65" s="105">
        <v>8</v>
      </c>
      <c r="AE65" s="98" t="s">
        <v>802</v>
      </c>
      <c r="AF65" s="114"/>
      <c r="AG65" s="77" t="s">
        <v>814</v>
      </c>
    </row>
    <row r="66" spans="1:33" ht="21.5" thickTop="1" thickBot="1" x14ac:dyDescent="0.85">
      <c r="A66" t="s">
        <v>917</v>
      </c>
      <c r="B66" s="81" t="s">
        <v>918</v>
      </c>
      <c r="C66" s="79" t="s">
        <v>801</v>
      </c>
      <c r="D66" s="79">
        <v>3</v>
      </c>
      <c r="E66" s="133">
        <v>0</v>
      </c>
      <c r="F66" s="133">
        <v>0</v>
      </c>
      <c r="G66" s="133">
        <v>2.5193429999999999E-2</v>
      </c>
      <c r="H66" s="133">
        <v>0.44832465000000005</v>
      </c>
      <c r="I66" s="133">
        <v>0.76108838000000001</v>
      </c>
      <c r="J66" s="133">
        <v>0.54496791</v>
      </c>
      <c r="K66" s="134">
        <v>0</v>
      </c>
      <c r="M66" s="135">
        <v>0</v>
      </c>
      <c r="N66" s="133">
        <v>0</v>
      </c>
      <c r="O66" s="133">
        <v>0</v>
      </c>
      <c r="P66" s="133">
        <v>0</v>
      </c>
      <c r="Q66" s="133">
        <v>0</v>
      </c>
      <c r="R66" s="133">
        <v>1.66884E-3</v>
      </c>
      <c r="S66" s="134">
        <v>3.33768E-3</v>
      </c>
      <c r="U66" s="90"/>
      <c r="V66" s="94">
        <v>10</v>
      </c>
      <c r="W66" s="85">
        <v>24</v>
      </c>
      <c r="X66" s="90">
        <v>38</v>
      </c>
      <c r="Y66" s="93">
        <v>10</v>
      </c>
      <c r="Z66" s="107">
        <f t="shared" si="1"/>
        <v>1061</v>
      </c>
      <c r="AA66" s="109">
        <v>1061</v>
      </c>
      <c r="AB66" s="80"/>
      <c r="AC66" s="80"/>
      <c r="AD66" s="105">
        <v>7</v>
      </c>
      <c r="AE66" s="85" t="s">
        <v>802</v>
      </c>
      <c r="AF66" s="114"/>
      <c r="AG66" s="77" t="s">
        <v>814</v>
      </c>
    </row>
    <row r="67" spans="1:33" ht="21.5" thickTop="1" thickBot="1" x14ac:dyDescent="0.85">
      <c r="A67" t="s">
        <v>919</v>
      </c>
      <c r="B67" s="81" t="s">
        <v>920</v>
      </c>
      <c r="C67" s="79" t="s">
        <v>801</v>
      </c>
      <c r="D67" s="79">
        <v>3</v>
      </c>
      <c r="E67" s="133">
        <v>0</v>
      </c>
      <c r="F67" s="133">
        <v>5.4194039999999999E-2</v>
      </c>
      <c r="G67" s="133">
        <v>6.2763470000000002E-2</v>
      </c>
      <c r="H67" s="133">
        <v>1.7932409999999999E-2</v>
      </c>
      <c r="I67" s="133">
        <v>0</v>
      </c>
      <c r="J67" s="133">
        <v>0</v>
      </c>
      <c r="K67" s="134">
        <v>0</v>
      </c>
      <c r="M67" s="135">
        <v>0</v>
      </c>
      <c r="N67" s="133">
        <v>0</v>
      </c>
      <c r="O67" s="133">
        <v>0</v>
      </c>
      <c r="P67" s="133">
        <v>0</v>
      </c>
      <c r="Q67" s="133">
        <v>0</v>
      </c>
      <c r="R67" s="133">
        <v>0</v>
      </c>
      <c r="S67" s="134">
        <v>0</v>
      </c>
      <c r="U67" s="80"/>
      <c r="V67" s="94"/>
      <c r="W67" s="156"/>
      <c r="X67" s="90">
        <v>13</v>
      </c>
      <c r="Y67" s="93">
        <v>10</v>
      </c>
      <c r="Z67" s="107">
        <f t="shared" si="1"/>
        <v>19</v>
      </c>
      <c r="AA67" s="80"/>
      <c r="AB67" s="80"/>
      <c r="AC67" s="80">
        <v>19</v>
      </c>
      <c r="AD67" s="105">
        <v>3</v>
      </c>
      <c r="AE67" s="98" t="s">
        <v>802</v>
      </c>
      <c r="AF67" s="114"/>
      <c r="AG67" s="77" t="s">
        <v>803</v>
      </c>
    </row>
    <row r="68" spans="1:33" ht="21.5" thickTop="1" thickBot="1" x14ac:dyDescent="0.85">
      <c r="A68" s="145" t="s">
        <v>847</v>
      </c>
      <c r="B68" s="160" t="s">
        <v>921</v>
      </c>
      <c r="C68" s="79" t="s">
        <v>801</v>
      </c>
      <c r="D68" s="79">
        <v>3</v>
      </c>
      <c r="E68" s="147">
        <v>0</v>
      </c>
      <c r="F68" s="147">
        <v>0</v>
      </c>
      <c r="G68" s="147">
        <v>1.7999999999999999E-2</v>
      </c>
      <c r="H68" s="147">
        <v>0.1783611946875</v>
      </c>
      <c r="I68" s="147">
        <v>0.30450353312499995</v>
      </c>
      <c r="J68" s="147">
        <v>0.21723204593750001</v>
      </c>
      <c r="K68" s="148">
        <v>0</v>
      </c>
      <c r="L68" s="128"/>
      <c r="M68" s="149">
        <v>0</v>
      </c>
      <c r="N68" s="147">
        <v>0</v>
      </c>
      <c r="O68" s="147">
        <v>0</v>
      </c>
      <c r="P68" s="147">
        <v>0</v>
      </c>
      <c r="Q68" s="147">
        <v>0</v>
      </c>
      <c r="R68" s="147">
        <v>1.38769125E-3</v>
      </c>
      <c r="S68" s="148">
        <v>2.7753825E-3</v>
      </c>
      <c r="U68" s="80"/>
      <c r="V68" s="155"/>
      <c r="W68" s="87"/>
      <c r="X68" s="154"/>
      <c r="Y68" s="93">
        <v>10</v>
      </c>
      <c r="Z68" s="107">
        <f t="shared" si="1"/>
        <v>132</v>
      </c>
      <c r="AA68" s="80">
        <v>132</v>
      </c>
      <c r="AB68" s="80"/>
      <c r="AC68" s="80"/>
      <c r="AD68" s="105"/>
      <c r="AE68" s="101"/>
      <c r="AF68" s="115"/>
      <c r="AG68" s="77" t="s">
        <v>814</v>
      </c>
    </row>
    <row r="69" spans="1:33" ht="16.5" customHeight="1" thickTop="1" thickBot="1" x14ac:dyDescent="0.85">
      <c r="A69" s="145" t="s">
        <v>847</v>
      </c>
      <c r="B69" s="160" t="s">
        <v>922</v>
      </c>
      <c r="C69" s="79" t="s">
        <v>801</v>
      </c>
      <c r="D69" s="79">
        <v>3</v>
      </c>
      <c r="E69" s="147">
        <v>0</v>
      </c>
      <c r="F69" s="147">
        <v>0</v>
      </c>
      <c r="G69" s="147">
        <v>1.6E-2</v>
      </c>
      <c r="H69" s="147">
        <v>0.162146540625</v>
      </c>
      <c r="I69" s="147">
        <v>0.27682139374999998</v>
      </c>
      <c r="J69" s="147">
        <v>0.19748367812500001</v>
      </c>
      <c r="K69" s="148">
        <v>0</v>
      </c>
      <c r="L69" s="128"/>
      <c r="M69" s="149">
        <v>0</v>
      </c>
      <c r="N69" s="147">
        <v>0</v>
      </c>
      <c r="O69" s="147">
        <v>0</v>
      </c>
      <c r="P69" s="147">
        <v>0</v>
      </c>
      <c r="Q69" s="147">
        <v>0</v>
      </c>
      <c r="R69" s="147">
        <v>1.25E-3</v>
      </c>
      <c r="S69" s="148">
        <v>2.5230750000000001E-3</v>
      </c>
      <c r="U69" s="80"/>
      <c r="V69" s="155"/>
      <c r="W69" s="87"/>
      <c r="X69" s="154"/>
      <c r="Y69" s="93">
        <v>10</v>
      </c>
      <c r="Z69" s="107">
        <f t="shared" si="1"/>
        <v>120</v>
      </c>
      <c r="AA69" s="80">
        <v>120</v>
      </c>
      <c r="AB69" s="80"/>
      <c r="AC69" s="80"/>
      <c r="AD69" s="105"/>
      <c r="AE69" s="101" t="s">
        <v>802</v>
      </c>
      <c r="AF69" s="115"/>
      <c r="AG69" s="77" t="s">
        <v>803</v>
      </c>
    </row>
    <row r="70" spans="1:33" ht="21.5" thickTop="1" thickBot="1" x14ac:dyDescent="0.85">
      <c r="A70" t="s">
        <v>923</v>
      </c>
      <c r="B70" s="81" t="s">
        <v>924</v>
      </c>
      <c r="C70" s="79" t="s">
        <v>801</v>
      </c>
      <c r="D70" s="79">
        <v>3</v>
      </c>
      <c r="E70" s="133">
        <v>0</v>
      </c>
      <c r="F70" s="133">
        <v>5.1396499999999998E-2</v>
      </c>
      <c r="G70" s="133">
        <v>5.9523550000000001E-2</v>
      </c>
      <c r="H70" s="133">
        <v>1.70067E-2</v>
      </c>
      <c r="I70" s="133">
        <v>0</v>
      </c>
      <c r="J70" s="133">
        <v>0</v>
      </c>
      <c r="K70" s="134">
        <v>0</v>
      </c>
      <c r="M70" s="135">
        <v>0</v>
      </c>
      <c r="N70" s="133">
        <v>0</v>
      </c>
      <c r="O70" s="133">
        <v>6.7760000000000002E-5</v>
      </c>
      <c r="P70" s="133">
        <v>1.8391999999999999E-4</v>
      </c>
      <c r="Q70" s="133">
        <v>2.3232E-4</v>
      </c>
      <c r="R70" s="133">
        <v>2.3232E-4</v>
      </c>
      <c r="S70" s="134">
        <v>2.3232E-4</v>
      </c>
      <c r="U70" s="90">
        <v>40</v>
      </c>
      <c r="V70" s="94">
        <v>35</v>
      </c>
      <c r="W70" s="85">
        <v>39</v>
      </c>
      <c r="X70" s="90">
        <v>23</v>
      </c>
      <c r="Y70" s="93">
        <v>10</v>
      </c>
      <c r="Z70" s="107">
        <f t="shared" si="1"/>
        <v>104.57040000000001</v>
      </c>
      <c r="AA70" s="107">
        <v>36</v>
      </c>
      <c r="AB70" s="80"/>
      <c r="AC70" s="80">
        <f>(79.22*1.32)-AA70</f>
        <v>68.570400000000006</v>
      </c>
      <c r="AD70" s="105">
        <v>27</v>
      </c>
      <c r="AE70" s="98"/>
      <c r="AF70" s="114"/>
      <c r="AG70" s="77" t="s">
        <v>803</v>
      </c>
    </row>
    <row r="71" spans="1:33" ht="21.5" thickTop="1" thickBot="1" x14ac:dyDescent="0.85">
      <c r="A71" t="s">
        <v>925</v>
      </c>
      <c r="B71" s="81" t="s">
        <v>926</v>
      </c>
      <c r="C71" s="79" t="s">
        <v>801</v>
      </c>
      <c r="D71" s="79">
        <v>3</v>
      </c>
      <c r="E71" s="133">
        <v>0</v>
      </c>
      <c r="F71" s="133">
        <v>2.3443189999999999E-2</v>
      </c>
      <c r="G71" s="133">
        <v>2.715014E-2</v>
      </c>
      <c r="H71" s="133">
        <v>7.7571699999999999E-3</v>
      </c>
      <c r="I71" s="133">
        <v>0</v>
      </c>
      <c r="J71" s="133">
        <v>0</v>
      </c>
      <c r="K71" s="134">
        <v>0</v>
      </c>
      <c r="M71" s="135">
        <v>0</v>
      </c>
      <c r="N71" s="133">
        <v>0</v>
      </c>
      <c r="O71" s="133">
        <v>0</v>
      </c>
      <c r="P71" s="133">
        <v>0</v>
      </c>
      <c r="Q71" s="133">
        <v>0</v>
      </c>
      <c r="R71" s="133">
        <v>0</v>
      </c>
      <c r="S71" s="134">
        <v>0</v>
      </c>
      <c r="U71" s="90">
        <v>111</v>
      </c>
      <c r="V71" s="94">
        <v>99</v>
      </c>
      <c r="W71" s="85">
        <v>56</v>
      </c>
      <c r="X71" s="90">
        <v>21</v>
      </c>
      <c r="Y71" s="93">
        <v>10</v>
      </c>
      <c r="Z71" s="107">
        <f t="shared" si="1"/>
        <v>46.437600000000003</v>
      </c>
      <c r="AA71" s="80"/>
      <c r="AB71" s="80"/>
      <c r="AC71" s="80">
        <f>35.18*1.32</f>
        <v>46.437600000000003</v>
      </c>
      <c r="AD71" s="105">
        <v>67.5</v>
      </c>
      <c r="AE71" s="98"/>
      <c r="AF71" s="113"/>
      <c r="AG71" s="77" t="s">
        <v>814</v>
      </c>
    </row>
    <row r="72" spans="1:33" ht="21.5" thickTop="1" thickBot="1" x14ac:dyDescent="0.85">
      <c r="A72" t="s">
        <v>927</v>
      </c>
      <c r="B72" s="81" t="s">
        <v>928</v>
      </c>
      <c r="C72" s="79" t="s">
        <v>801</v>
      </c>
      <c r="D72" s="79">
        <v>3</v>
      </c>
      <c r="E72" s="133">
        <v>0</v>
      </c>
      <c r="F72" s="133">
        <v>0.16473283999999999</v>
      </c>
      <c r="G72" s="133">
        <v>0.19078117999999999</v>
      </c>
      <c r="H72" s="133">
        <v>5.4508849999999998E-2</v>
      </c>
      <c r="I72" s="133">
        <v>0</v>
      </c>
      <c r="J72" s="133">
        <v>0</v>
      </c>
      <c r="K72" s="134">
        <v>0</v>
      </c>
      <c r="M72" s="135">
        <v>0</v>
      </c>
      <c r="N72" s="133">
        <v>0</v>
      </c>
      <c r="O72" s="133">
        <v>0</v>
      </c>
      <c r="P72" s="133">
        <v>0</v>
      </c>
      <c r="Q72" s="133">
        <v>0</v>
      </c>
      <c r="R72" s="133">
        <v>0</v>
      </c>
      <c r="S72" s="134">
        <v>0</v>
      </c>
      <c r="U72" s="80"/>
      <c r="V72" s="94"/>
      <c r="W72" s="85"/>
      <c r="X72" s="85">
        <v>16</v>
      </c>
      <c r="Y72" s="93">
        <v>10</v>
      </c>
      <c r="Z72" s="107">
        <f t="shared" si="1"/>
        <v>199.584</v>
      </c>
      <c r="AA72" s="80"/>
      <c r="AB72" s="80"/>
      <c r="AC72" s="80">
        <f>151.2*1.32</f>
        <v>199.584</v>
      </c>
      <c r="AD72" s="105">
        <v>6</v>
      </c>
      <c r="AE72" s="98"/>
      <c r="AF72" s="113"/>
      <c r="AG72" s="77" t="s">
        <v>814</v>
      </c>
    </row>
    <row r="73" spans="1:33" ht="21.5" thickTop="1" thickBot="1" x14ac:dyDescent="0.85">
      <c r="A73" t="s">
        <v>929</v>
      </c>
      <c r="B73" s="81" t="s">
        <v>930</v>
      </c>
      <c r="C73" s="79" t="s">
        <v>801</v>
      </c>
      <c r="D73" s="79">
        <v>3</v>
      </c>
      <c r="E73" s="133">
        <v>0</v>
      </c>
      <c r="F73" s="133">
        <v>0.36247950000000001</v>
      </c>
      <c r="G73" s="133">
        <v>0.71997129000000004</v>
      </c>
      <c r="H73" s="133">
        <v>0.59577727000000003</v>
      </c>
      <c r="I73" s="133">
        <v>6.1475919999999996E-2</v>
      </c>
      <c r="J73" s="133">
        <v>0</v>
      </c>
      <c r="K73" s="134">
        <v>0</v>
      </c>
      <c r="M73" s="135">
        <v>0</v>
      </c>
      <c r="N73" s="133">
        <v>0</v>
      </c>
      <c r="O73" s="133">
        <v>0</v>
      </c>
      <c r="P73" s="133">
        <v>1.387E-3</v>
      </c>
      <c r="Q73" s="133">
        <v>3.0514000000000001E-3</v>
      </c>
      <c r="R73" s="133">
        <v>3.3288000000000002E-3</v>
      </c>
      <c r="S73" s="134">
        <v>3.3288000000000002E-3</v>
      </c>
      <c r="U73" s="90">
        <v>14</v>
      </c>
      <c r="V73" s="94">
        <v>19</v>
      </c>
      <c r="W73" s="85">
        <v>13</v>
      </c>
      <c r="X73" s="85">
        <v>46</v>
      </c>
      <c r="Y73" s="93">
        <v>10</v>
      </c>
      <c r="Z73" s="107">
        <f t="shared" ref="Z73:Z104" si="2">SUM(AA73:AC73)</f>
        <v>1027</v>
      </c>
      <c r="AA73" s="109">
        <v>1027</v>
      </c>
      <c r="AB73" s="80"/>
      <c r="AC73" s="80"/>
      <c r="AD73" s="105">
        <v>6</v>
      </c>
      <c r="AE73" s="98"/>
      <c r="AF73" s="113"/>
      <c r="AG73" s="77" t="s">
        <v>814</v>
      </c>
    </row>
    <row r="74" spans="1:33" ht="21.5" thickTop="1" thickBot="1" x14ac:dyDescent="0.85">
      <c r="A74" t="s">
        <v>931</v>
      </c>
      <c r="B74" s="81" t="s">
        <v>932</v>
      </c>
      <c r="C74" s="79" t="s">
        <v>801</v>
      </c>
      <c r="D74" s="79">
        <v>3</v>
      </c>
      <c r="E74" s="133">
        <v>0</v>
      </c>
      <c r="F74" s="133">
        <v>4.3391410000000005E-2</v>
      </c>
      <c r="G74" s="133">
        <v>3.0150990000000003E-2</v>
      </c>
      <c r="H74" s="133">
        <v>0</v>
      </c>
      <c r="I74" s="133">
        <v>0</v>
      </c>
      <c r="J74" s="133">
        <v>0</v>
      </c>
      <c r="K74" s="134">
        <v>0</v>
      </c>
      <c r="M74" s="135">
        <v>0</v>
      </c>
      <c r="N74" s="133">
        <v>0</v>
      </c>
      <c r="O74" s="133">
        <v>0</v>
      </c>
      <c r="P74" s="133">
        <v>0</v>
      </c>
      <c r="Q74" s="133">
        <v>0</v>
      </c>
      <c r="R74" s="133">
        <v>0</v>
      </c>
      <c r="S74" s="134">
        <v>0</v>
      </c>
      <c r="U74" s="90">
        <v>46</v>
      </c>
      <c r="V74" s="94">
        <v>30</v>
      </c>
      <c r="W74" s="85">
        <v>12</v>
      </c>
      <c r="X74" s="85">
        <v>11</v>
      </c>
      <c r="Y74" s="93">
        <v>10</v>
      </c>
      <c r="Z74" s="107">
        <f t="shared" si="2"/>
        <v>19.007999999999999</v>
      </c>
      <c r="AA74" s="107">
        <v>19.007999999999999</v>
      </c>
      <c r="AB74" s="80"/>
      <c r="AC74" s="80"/>
      <c r="AD74" s="105">
        <v>11</v>
      </c>
      <c r="AE74" s="98"/>
      <c r="AF74" s="113"/>
      <c r="AG74" s="77" t="s">
        <v>814</v>
      </c>
    </row>
    <row r="75" spans="1:33" ht="21.5" thickTop="1" thickBot="1" x14ac:dyDescent="0.85">
      <c r="A75" t="s">
        <v>933</v>
      </c>
      <c r="B75" s="81" t="s">
        <v>934</v>
      </c>
      <c r="C75" s="79" t="s">
        <v>801</v>
      </c>
      <c r="D75" s="79">
        <v>3</v>
      </c>
      <c r="E75" s="133">
        <v>0</v>
      </c>
      <c r="F75" s="133">
        <v>0.24271735999999999</v>
      </c>
      <c r="G75" s="133">
        <v>0.37245607000000003</v>
      </c>
      <c r="H75" s="133">
        <v>0.21170926000000001</v>
      </c>
      <c r="I75" s="133">
        <v>0</v>
      </c>
      <c r="J75" s="133">
        <v>0</v>
      </c>
      <c r="K75" s="134">
        <v>0</v>
      </c>
      <c r="M75" s="135">
        <v>0</v>
      </c>
      <c r="N75" s="133">
        <v>0</v>
      </c>
      <c r="O75" s="133">
        <v>2.4813999999999999E-4</v>
      </c>
      <c r="P75" s="133">
        <v>1.7369900000000001E-3</v>
      </c>
      <c r="Q75" s="133">
        <v>2.9778000000000001E-3</v>
      </c>
      <c r="R75" s="133">
        <v>2.9778000000000001E-3</v>
      </c>
      <c r="S75" s="134">
        <v>2.9778000000000001E-3</v>
      </c>
      <c r="U75" s="80"/>
      <c r="V75" s="157"/>
      <c r="W75" s="85"/>
      <c r="X75" s="90">
        <v>12</v>
      </c>
      <c r="Y75" s="93">
        <v>10</v>
      </c>
      <c r="Z75" s="107">
        <f t="shared" si="2"/>
        <v>267.39999999999998</v>
      </c>
      <c r="AA75" s="109">
        <v>267.39999999999998</v>
      </c>
      <c r="AB75" s="80"/>
      <c r="AC75" s="80"/>
      <c r="AD75" s="105">
        <v>2</v>
      </c>
      <c r="AE75" s="98" t="s">
        <v>802</v>
      </c>
      <c r="AF75" s="113"/>
      <c r="AG75" s="77" t="s">
        <v>814</v>
      </c>
    </row>
    <row r="76" spans="1:33" ht="21.5" thickTop="1" thickBot="1" x14ac:dyDescent="0.85">
      <c r="A76" t="s">
        <v>935</v>
      </c>
      <c r="B76" s="81" t="s">
        <v>936</v>
      </c>
      <c r="C76" s="79" t="s">
        <v>801</v>
      </c>
      <c r="D76" s="79">
        <v>3</v>
      </c>
      <c r="E76" s="133">
        <v>0</v>
      </c>
      <c r="F76" s="133">
        <v>0.27104835999999999</v>
      </c>
      <c r="G76" s="133">
        <v>0.47585546999999995</v>
      </c>
      <c r="H76" s="133">
        <v>0.34366734999999998</v>
      </c>
      <c r="I76" s="133">
        <v>0</v>
      </c>
      <c r="J76" s="133">
        <v>0</v>
      </c>
      <c r="K76" s="134">
        <v>0</v>
      </c>
      <c r="M76" s="135">
        <v>0</v>
      </c>
      <c r="N76" s="133">
        <v>0</v>
      </c>
      <c r="O76" s="133">
        <v>0</v>
      </c>
      <c r="P76" s="133">
        <v>1.518E-3</v>
      </c>
      <c r="Q76" s="133">
        <v>3.0360000000000001E-3</v>
      </c>
      <c r="R76" s="133">
        <v>3.0361199999999998E-3</v>
      </c>
      <c r="S76" s="134">
        <v>3.0361199999999998E-3</v>
      </c>
      <c r="U76" s="90">
        <v>10</v>
      </c>
      <c r="V76" s="94">
        <v>5</v>
      </c>
      <c r="W76" s="85">
        <v>13</v>
      </c>
      <c r="X76" s="90">
        <v>150</v>
      </c>
      <c r="Y76" s="93">
        <v>10</v>
      </c>
      <c r="Z76" s="107">
        <f t="shared" si="2"/>
        <v>482.21</v>
      </c>
      <c r="AA76" s="109">
        <v>482.21</v>
      </c>
      <c r="AB76" s="80"/>
      <c r="AC76" s="80"/>
      <c r="AD76" s="105">
        <v>3</v>
      </c>
      <c r="AE76" s="98" t="s">
        <v>802</v>
      </c>
      <c r="AF76" s="113"/>
      <c r="AG76" s="77" t="s">
        <v>814</v>
      </c>
    </row>
    <row r="77" spans="1:33" ht="21.5" thickTop="1" thickBot="1" x14ac:dyDescent="0.85">
      <c r="A77" t="s">
        <v>937</v>
      </c>
      <c r="B77" s="81" t="s">
        <v>938</v>
      </c>
      <c r="C77" s="79" t="s">
        <v>801</v>
      </c>
      <c r="D77" s="79">
        <v>3</v>
      </c>
      <c r="E77" s="133">
        <v>0</v>
      </c>
      <c r="F77" s="133">
        <v>0</v>
      </c>
      <c r="G77" s="133">
        <v>0.17667257</v>
      </c>
      <c r="H77" s="133">
        <v>0.84512365</v>
      </c>
      <c r="I77" s="133">
        <v>1.46356211</v>
      </c>
      <c r="J77" s="133">
        <v>1.0354181</v>
      </c>
      <c r="K77" s="134">
        <v>0</v>
      </c>
      <c r="M77" s="135">
        <v>0</v>
      </c>
      <c r="N77" s="133">
        <v>0</v>
      </c>
      <c r="O77" s="133">
        <v>0</v>
      </c>
      <c r="P77" s="133">
        <v>0</v>
      </c>
      <c r="Q77" s="133">
        <v>0</v>
      </c>
      <c r="R77" s="133">
        <v>2.1800399999999998E-3</v>
      </c>
      <c r="S77" s="134">
        <v>4.3600799999999997E-3</v>
      </c>
      <c r="U77" s="80"/>
      <c r="V77" s="94"/>
      <c r="W77" s="85"/>
      <c r="X77" s="90">
        <v>106</v>
      </c>
      <c r="Y77" s="93">
        <v>10</v>
      </c>
      <c r="Z77" s="107">
        <f t="shared" si="2"/>
        <v>3337.3824000000004</v>
      </c>
      <c r="AA77" s="123">
        <v>1335</v>
      </c>
      <c r="AB77" s="80"/>
      <c r="AC77" s="80">
        <f>(2528.32*1.32)-AA77</f>
        <v>2002.3824000000004</v>
      </c>
      <c r="AD77" s="105">
        <v>96</v>
      </c>
      <c r="AE77" s="98" t="s">
        <v>802</v>
      </c>
      <c r="AF77" s="113"/>
      <c r="AG77" s="77" t="s">
        <v>814</v>
      </c>
    </row>
    <row r="78" spans="1:33" ht="21.5" thickTop="1" thickBot="1" x14ac:dyDescent="0.85">
      <c r="A78" t="s">
        <v>939</v>
      </c>
      <c r="B78" s="81" t="s">
        <v>940</v>
      </c>
      <c r="C78" s="79" t="s">
        <v>801</v>
      </c>
      <c r="D78" s="79">
        <v>3</v>
      </c>
      <c r="E78" s="133">
        <v>0</v>
      </c>
      <c r="F78" s="133">
        <v>0.40635284000000005</v>
      </c>
      <c r="G78" s="133">
        <v>0.8541679499999999</v>
      </c>
      <c r="H78" s="133">
        <v>0.76071194999999991</v>
      </c>
      <c r="I78" s="133">
        <v>0.11588071000000001</v>
      </c>
      <c r="J78" s="133">
        <v>0</v>
      </c>
      <c r="K78" s="134">
        <v>0</v>
      </c>
      <c r="M78" s="135">
        <v>0</v>
      </c>
      <c r="N78" s="133">
        <v>0</v>
      </c>
      <c r="O78" s="133">
        <v>0</v>
      </c>
      <c r="P78" s="133">
        <v>1.30671E-3</v>
      </c>
      <c r="Q78" s="133">
        <v>3.0489899999999997E-3</v>
      </c>
      <c r="R78" s="133">
        <v>3.4844699999999999E-3</v>
      </c>
      <c r="S78" s="134">
        <v>3.4844400000000001E-3</v>
      </c>
      <c r="U78" s="90"/>
      <c r="V78" s="94">
        <v>64</v>
      </c>
      <c r="W78" s="85">
        <v>17</v>
      </c>
      <c r="X78" s="85">
        <v>56</v>
      </c>
      <c r="Y78" s="93">
        <v>10</v>
      </c>
      <c r="Z78" s="107">
        <f t="shared" si="2"/>
        <v>1368</v>
      </c>
      <c r="AA78" s="109">
        <v>1368</v>
      </c>
      <c r="AB78" s="80"/>
      <c r="AC78" s="80"/>
      <c r="AD78" s="105">
        <v>30.5</v>
      </c>
      <c r="AE78" s="98" t="s">
        <v>802</v>
      </c>
      <c r="AF78" s="113"/>
      <c r="AG78" s="77" t="s">
        <v>814</v>
      </c>
    </row>
    <row r="79" spans="1:33" ht="21.5" thickTop="1" thickBot="1" x14ac:dyDescent="0.85">
      <c r="A79" t="s">
        <v>941</v>
      </c>
      <c r="B79" s="81" t="s">
        <v>942</v>
      </c>
      <c r="C79" s="79" t="s">
        <v>801</v>
      </c>
      <c r="D79" s="79">
        <v>3</v>
      </c>
      <c r="E79" s="133">
        <v>0</v>
      </c>
      <c r="F79" s="133">
        <v>1.53797399</v>
      </c>
      <c r="G79" s="133">
        <v>4.1540777899999997</v>
      </c>
      <c r="H79" s="133">
        <v>6.0648622899999998</v>
      </c>
      <c r="I79" s="133">
        <v>2.9571612699999998</v>
      </c>
      <c r="J79" s="133">
        <v>0</v>
      </c>
      <c r="K79" s="134">
        <v>0</v>
      </c>
      <c r="M79" s="135">
        <v>0</v>
      </c>
      <c r="N79" s="133">
        <v>0</v>
      </c>
      <c r="O79" s="133">
        <v>0</v>
      </c>
      <c r="P79" s="133">
        <v>2.3908200000000001E-3</v>
      </c>
      <c r="Q79" s="133">
        <v>1.1954129999999999E-2</v>
      </c>
      <c r="R79" s="133">
        <v>1.912668E-2</v>
      </c>
      <c r="S79" s="134">
        <v>1.912668E-2</v>
      </c>
      <c r="U79" s="90"/>
      <c r="V79" s="94">
        <v>10</v>
      </c>
      <c r="W79" s="85">
        <v>17</v>
      </c>
      <c r="X79" s="90">
        <v>236</v>
      </c>
      <c r="Y79" s="93">
        <v>10</v>
      </c>
      <c r="Z79" s="107">
        <f t="shared" si="2"/>
        <v>13901</v>
      </c>
      <c r="AA79" s="107">
        <f>1112.2*5</f>
        <v>5561</v>
      </c>
      <c r="AB79" s="80"/>
      <c r="AC79" s="109">
        <f>13901-AA79</f>
        <v>8340</v>
      </c>
      <c r="AD79" s="105">
        <v>3.5</v>
      </c>
      <c r="AE79" s="98" t="s">
        <v>802</v>
      </c>
      <c r="AF79" s="113"/>
      <c r="AG79" s="77" t="s">
        <v>814</v>
      </c>
    </row>
    <row r="80" spans="1:33" ht="16.5" customHeight="1" thickTop="1" thickBot="1" x14ac:dyDescent="0.85">
      <c r="A80" t="s">
        <v>943</v>
      </c>
      <c r="B80" s="81" t="s">
        <v>944</v>
      </c>
      <c r="C80" s="79" t="s">
        <v>801</v>
      </c>
      <c r="D80" s="79">
        <v>3</v>
      </c>
      <c r="E80" s="133">
        <v>0</v>
      </c>
      <c r="F80" s="133">
        <v>1.8062349999999998E-2</v>
      </c>
      <c r="G80" s="133">
        <v>1.3723399999999999E-3</v>
      </c>
      <c r="H80" s="133">
        <v>0</v>
      </c>
      <c r="I80" s="133">
        <v>0</v>
      </c>
      <c r="J80" s="133">
        <v>0</v>
      </c>
      <c r="K80" s="134">
        <v>0</v>
      </c>
      <c r="M80" s="135">
        <v>0</v>
      </c>
      <c r="N80" s="133">
        <v>0</v>
      </c>
      <c r="O80" s="133">
        <v>0</v>
      </c>
      <c r="P80" s="133">
        <v>0</v>
      </c>
      <c r="Q80" s="133">
        <v>0</v>
      </c>
      <c r="R80" s="133">
        <v>0</v>
      </c>
      <c r="S80" s="134">
        <v>0</v>
      </c>
      <c r="U80" s="90">
        <v>33</v>
      </c>
      <c r="V80" s="94">
        <v>58</v>
      </c>
      <c r="W80" s="85">
        <v>22</v>
      </c>
      <c r="X80" s="90">
        <v>11</v>
      </c>
      <c r="Y80" s="93">
        <v>10</v>
      </c>
      <c r="Z80" s="107">
        <f t="shared" si="2"/>
        <v>0.26</v>
      </c>
      <c r="AA80" s="107">
        <v>0.26</v>
      </c>
      <c r="AB80" s="80"/>
      <c r="AC80" s="80"/>
      <c r="AD80" s="105">
        <v>30</v>
      </c>
      <c r="AE80" s="98" t="s">
        <v>802</v>
      </c>
      <c r="AF80" s="113"/>
      <c r="AG80" s="77" t="s">
        <v>814</v>
      </c>
    </row>
    <row r="81" spans="1:33" ht="21.5" thickTop="1" thickBot="1" x14ac:dyDescent="0.85">
      <c r="A81" t="s">
        <v>945</v>
      </c>
      <c r="B81" s="81" t="s">
        <v>946</v>
      </c>
      <c r="C81" s="79" t="s">
        <v>801</v>
      </c>
      <c r="D81" s="79">
        <v>3</v>
      </c>
      <c r="E81" s="133">
        <v>0</v>
      </c>
      <c r="F81" s="133">
        <v>0.10312892</v>
      </c>
      <c r="G81" s="133">
        <v>0.11943613</v>
      </c>
      <c r="H81" s="133">
        <v>3.4124589999999996E-2</v>
      </c>
      <c r="I81" s="133">
        <v>0</v>
      </c>
      <c r="J81" s="133">
        <v>0</v>
      </c>
      <c r="K81" s="134">
        <v>0</v>
      </c>
      <c r="M81" s="135">
        <v>0</v>
      </c>
      <c r="N81" s="133">
        <v>0</v>
      </c>
      <c r="O81" s="133">
        <v>2.3534000000000001E-4</v>
      </c>
      <c r="P81" s="133">
        <v>6.3877999999999993E-4</v>
      </c>
      <c r="Q81" s="133">
        <v>8.0695000000000007E-4</v>
      </c>
      <c r="R81" s="133">
        <v>8.0699999999999999E-4</v>
      </c>
      <c r="S81" s="134">
        <v>8.0699999999999999E-4</v>
      </c>
      <c r="U81" s="90">
        <v>16</v>
      </c>
      <c r="V81" s="94">
        <v>21</v>
      </c>
      <c r="W81" s="85">
        <v>8</v>
      </c>
      <c r="X81" s="85">
        <v>38</v>
      </c>
      <c r="Y81" s="93">
        <v>10</v>
      </c>
      <c r="Z81" s="107">
        <f t="shared" si="2"/>
        <v>31.68</v>
      </c>
      <c r="AA81" s="80"/>
      <c r="AB81" s="80"/>
      <c r="AC81" s="80">
        <f>24*1.32</f>
        <v>31.68</v>
      </c>
      <c r="AD81" s="105">
        <v>4.5</v>
      </c>
      <c r="AE81" s="98"/>
      <c r="AF81" s="113"/>
      <c r="AG81" s="77" t="s">
        <v>803</v>
      </c>
    </row>
    <row r="82" spans="1:33" ht="21.5" thickTop="1" thickBot="1" x14ac:dyDescent="0.85">
      <c r="A82" t="s">
        <v>947</v>
      </c>
      <c r="B82" s="81" t="s">
        <v>948</v>
      </c>
      <c r="C82" s="79" t="s">
        <v>801</v>
      </c>
      <c r="D82" s="79">
        <v>3</v>
      </c>
      <c r="E82" s="133">
        <v>0</v>
      </c>
      <c r="F82" s="133">
        <v>0</v>
      </c>
      <c r="G82" s="133">
        <v>3.4726500000000003E-3</v>
      </c>
      <c r="H82" s="133">
        <v>0.26951424000000002</v>
      </c>
      <c r="I82" s="133">
        <v>0.27795044000000002</v>
      </c>
      <c r="J82" s="133">
        <v>6.3365320000000003E-2</v>
      </c>
      <c r="K82" s="134">
        <v>0</v>
      </c>
      <c r="M82" s="135">
        <v>0</v>
      </c>
      <c r="N82" s="133">
        <v>0</v>
      </c>
      <c r="O82" s="133">
        <v>0</v>
      </c>
      <c r="P82" s="133">
        <v>0</v>
      </c>
      <c r="Q82" s="133">
        <v>0</v>
      </c>
      <c r="R82" s="133">
        <v>0</v>
      </c>
      <c r="S82" s="134">
        <v>0</v>
      </c>
      <c r="U82" s="80"/>
      <c r="V82" s="94"/>
      <c r="W82" s="85"/>
      <c r="X82" s="90">
        <v>20</v>
      </c>
      <c r="Y82" s="93">
        <v>10</v>
      </c>
      <c r="Z82" s="107">
        <f t="shared" si="2"/>
        <v>122.52239999999999</v>
      </c>
      <c r="AA82" s="80"/>
      <c r="AB82" s="80"/>
      <c r="AC82" s="80">
        <f>92.82*1.32</f>
        <v>122.52239999999999</v>
      </c>
      <c r="AD82" s="105">
        <v>10</v>
      </c>
      <c r="AE82" s="98"/>
      <c r="AF82" s="114"/>
      <c r="AG82" s="77" t="s">
        <v>803</v>
      </c>
    </row>
    <row r="83" spans="1:33" ht="21.5" thickTop="1" thickBot="1" x14ac:dyDescent="0.85">
      <c r="A83" t="s">
        <v>949</v>
      </c>
      <c r="B83" s="81" t="s">
        <v>950</v>
      </c>
      <c r="C83" s="79" t="s">
        <v>801</v>
      </c>
      <c r="D83" s="79">
        <v>3</v>
      </c>
      <c r="E83" s="133">
        <v>0</v>
      </c>
      <c r="F83" s="133">
        <v>0</v>
      </c>
      <c r="G83" s="133">
        <v>0</v>
      </c>
      <c r="H83" s="133">
        <v>0.12221259</v>
      </c>
      <c r="I83" s="133">
        <v>0.22731022000000001</v>
      </c>
      <c r="J83" s="133">
        <v>0.16542941</v>
      </c>
      <c r="K83" s="134">
        <v>0</v>
      </c>
      <c r="M83" s="135">
        <v>0</v>
      </c>
      <c r="N83" s="133">
        <v>0</v>
      </c>
      <c r="O83" s="133">
        <v>0</v>
      </c>
      <c r="P83" s="133">
        <v>0</v>
      </c>
      <c r="Q83" s="133">
        <v>0</v>
      </c>
      <c r="R83" s="133">
        <v>1.5554999999999999E-2</v>
      </c>
      <c r="S83" s="134">
        <v>3.1110119999999998E-2</v>
      </c>
      <c r="U83" s="80"/>
      <c r="V83" s="94"/>
      <c r="W83" s="85"/>
      <c r="X83" s="85">
        <v>80</v>
      </c>
      <c r="Y83" s="93">
        <v>10</v>
      </c>
      <c r="Z83" s="107">
        <f t="shared" si="2"/>
        <v>100.48</v>
      </c>
      <c r="AA83" s="80">
        <v>100.48</v>
      </c>
      <c r="AB83" s="80"/>
      <c r="AC83" s="80"/>
      <c r="AD83" s="105">
        <v>70</v>
      </c>
      <c r="AE83" s="98" t="s">
        <v>802</v>
      </c>
      <c r="AF83" s="113"/>
      <c r="AG83" s="77" t="s">
        <v>803</v>
      </c>
    </row>
    <row r="84" spans="1:33" ht="21.5" thickTop="1" thickBot="1" x14ac:dyDescent="0.85">
      <c r="A84" t="s">
        <v>951</v>
      </c>
      <c r="B84" s="81" t="s">
        <v>952</v>
      </c>
      <c r="C84" s="79" t="s">
        <v>801</v>
      </c>
      <c r="D84" s="79">
        <v>3</v>
      </c>
      <c r="E84" s="133">
        <v>0</v>
      </c>
      <c r="F84" s="133">
        <v>0</v>
      </c>
      <c r="G84" s="133">
        <v>2.9673099999999999E-3</v>
      </c>
      <c r="H84" s="133">
        <v>0.38800574999999998</v>
      </c>
      <c r="I84" s="133">
        <v>0.65401554000000006</v>
      </c>
      <c r="J84" s="133">
        <v>0.46971814000000001</v>
      </c>
      <c r="K84" s="134">
        <v>0</v>
      </c>
      <c r="M84" s="135">
        <v>0</v>
      </c>
      <c r="N84" s="133">
        <v>0</v>
      </c>
      <c r="O84" s="133">
        <v>0</v>
      </c>
      <c r="P84" s="133">
        <v>0</v>
      </c>
      <c r="Q84" s="133">
        <v>0</v>
      </c>
      <c r="R84" s="133">
        <v>1.56492E-3</v>
      </c>
      <c r="S84" s="134">
        <v>3.1298400000000001E-3</v>
      </c>
      <c r="U84" s="80"/>
      <c r="V84" s="94"/>
      <c r="W84" s="85"/>
      <c r="X84" s="90">
        <v>22</v>
      </c>
      <c r="Y84" s="93">
        <v>10</v>
      </c>
      <c r="Z84" s="107">
        <f t="shared" si="2"/>
        <v>850.21</v>
      </c>
      <c r="AA84" s="123">
        <v>850.21</v>
      </c>
      <c r="AB84" s="80"/>
      <c r="AC84" s="80"/>
      <c r="AD84" s="105">
        <v>12</v>
      </c>
      <c r="AE84" s="98" t="s">
        <v>802</v>
      </c>
      <c r="AF84" s="113"/>
      <c r="AG84" s="77" t="s">
        <v>814</v>
      </c>
    </row>
    <row r="85" spans="1:33" ht="21.5" thickTop="1" thickBot="1" x14ac:dyDescent="0.85">
      <c r="A85" t="s">
        <v>953</v>
      </c>
      <c r="B85" s="81" t="s">
        <v>954</v>
      </c>
      <c r="C85" s="79" t="s">
        <v>801</v>
      </c>
      <c r="D85" s="79">
        <v>3</v>
      </c>
      <c r="E85" s="133">
        <v>0</v>
      </c>
      <c r="F85" s="133">
        <v>0.2880703</v>
      </c>
      <c r="G85" s="133">
        <v>0.50573931000000005</v>
      </c>
      <c r="H85" s="133">
        <v>0.36524971000000001</v>
      </c>
      <c r="I85" s="133">
        <v>0</v>
      </c>
      <c r="J85" s="133">
        <v>0</v>
      </c>
      <c r="K85" s="134">
        <v>0</v>
      </c>
      <c r="M85" s="135">
        <v>0</v>
      </c>
      <c r="N85" s="133">
        <v>0</v>
      </c>
      <c r="O85" s="133">
        <v>0</v>
      </c>
      <c r="P85" s="133">
        <v>1.52556E-3</v>
      </c>
      <c r="Q85" s="133">
        <v>3.0512099999999999E-3</v>
      </c>
      <c r="R85" s="133">
        <v>3.0512399999999998E-3</v>
      </c>
      <c r="S85" s="134">
        <v>3.0512399999999998E-3</v>
      </c>
      <c r="U85" s="90"/>
      <c r="V85" s="94">
        <v>71</v>
      </c>
      <c r="W85" s="85">
        <v>80</v>
      </c>
      <c r="X85" s="90">
        <v>33</v>
      </c>
      <c r="Y85" s="93">
        <v>10</v>
      </c>
      <c r="Z85" s="107">
        <f t="shared" si="2"/>
        <v>524.67999999999995</v>
      </c>
      <c r="AA85" s="109">
        <v>524.67999999999995</v>
      </c>
      <c r="AB85" s="80"/>
      <c r="AC85" s="80"/>
      <c r="AD85" s="105">
        <v>65.5</v>
      </c>
      <c r="AE85" s="98"/>
      <c r="AF85" s="114"/>
      <c r="AG85" s="77" t="s">
        <v>814</v>
      </c>
    </row>
    <row r="86" spans="1:33" ht="21.5" thickTop="1" thickBot="1" x14ac:dyDescent="0.85">
      <c r="A86" t="s">
        <v>955</v>
      </c>
      <c r="B86" s="81" t="s">
        <v>956</v>
      </c>
      <c r="C86" s="79" t="s">
        <v>801</v>
      </c>
      <c r="D86" s="79">
        <v>3</v>
      </c>
      <c r="E86" s="133">
        <v>0</v>
      </c>
      <c r="F86" s="133">
        <v>1.33086455</v>
      </c>
      <c r="G86" s="133">
        <v>3.59467377</v>
      </c>
      <c r="H86" s="133">
        <v>5.2481447399999999</v>
      </c>
      <c r="I86" s="133">
        <v>2.5589386600000004</v>
      </c>
      <c r="J86" s="133">
        <v>0</v>
      </c>
      <c r="K86" s="134">
        <v>0</v>
      </c>
      <c r="M86" s="135">
        <v>0</v>
      </c>
      <c r="N86" s="133">
        <v>0</v>
      </c>
      <c r="O86" s="133">
        <v>0</v>
      </c>
      <c r="P86" s="133">
        <v>1.0878299999999999E-3</v>
      </c>
      <c r="Q86" s="133">
        <v>5.4391499999999994E-3</v>
      </c>
      <c r="R86" s="133">
        <v>8.7026100000000012E-3</v>
      </c>
      <c r="S86" s="134">
        <v>8.70252E-3</v>
      </c>
      <c r="U86" s="80"/>
      <c r="V86" s="94"/>
      <c r="W86" s="85"/>
      <c r="X86" s="90">
        <v>6</v>
      </c>
      <c r="Y86" s="93">
        <v>10</v>
      </c>
      <c r="Z86" s="107">
        <f t="shared" si="2"/>
        <v>3419</v>
      </c>
      <c r="AA86" s="108">
        <f>2*683.8</f>
        <v>1367.6</v>
      </c>
      <c r="AB86" s="80"/>
      <c r="AC86" s="109">
        <f>3419-AA86</f>
        <v>2051.4</v>
      </c>
      <c r="AD86" s="105">
        <v>4</v>
      </c>
      <c r="AE86" s="98" t="s">
        <v>802</v>
      </c>
      <c r="AF86" s="113">
        <v>2</v>
      </c>
      <c r="AG86" s="77" t="s">
        <v>803</v>
      </c>
    </row>
    <row r="87" spans="1:33" ht="21.5" thickTop="1" thickBot="1" x14ac:dyDescent="0.85">
      <c r="A87" t="s">
        <v>957</v>
      </c>
      <c r="B87" s="82" t="s">
        <v>958</v>
      </c>
      <c r="C87" s="79" t="s">
        <v>801</v>
      </c>
      <c r="D87" s="79">
        <v>3</v>
      </c>
      <c r="E87" s="133">
        <v>0</v>
      </c>
      <c r="F87" s="133">
        <v>0.50807137000000002</v>
      </c>
      <c r="G87" s="133">
        <v>1.23534415</v>
      </c>
      <c r="H87" s="133">
        <v>1.3880194399999999</v>
      </c>
      <c r="I87" s="133">
        <v>0.41890454999999999</v>
      </c>
      <c r="J87" s="133">
        <v>0</v>
      </c>
      <c r="K87" s="134">
        <v>0</v>
      </c>
      <c r="M87" s="135">
        <v>0</v>
      </c>
      <c r="N87" s="133">
        <v>0</v>
      </c>
      <c r="O87" s="133">
        <v>0</v>
      </c>
      <c r="P87" s="133">
        <v>1.0916400000000001E-3</v>
      </c>
      <c r="Q87" s="133">
        <v>3.2749200000000002E-3</v>
      </c>
      <c r="R87" s="133">
        <v>4.3666199999999999E-3</v>
      </c>
      <c r="S87" s="134">
        <v>4.3666800000000004E-3</v>
      </c>
      <c r="U87" s="80"/>
      <c r="V87" s="94"/>
      <c r="W87" s="85"/>
      <c r="X87" s="85">
        <v>77</v>
      </c>
      <c r="Y87" s="93">
        <v>10</v>
      </c>
      <c r="Z87" s="107">
        <f t="shared" si="2"/>
        <v>3413</v>
      </c>
      <c r="AA87" s="109">
        <v>1366</v>
      </c>
      <c r="AB87" s="80"/>
      <c r="AC87" s="109">
        <f>3413-AA87</f>
        <v>2047</v>
      </c>
      <c r="AD87" s="105">
        <v>75</v>
      </c>
      <c r="AE87" s="98" t="s">
        <v>802</v>
      </c>
      <c r="AF87" s="113">
        <v>2</v>
      </c>
      <c r="AG87" s="77" t="s">
        <v>814</v>
      </c>
    </row>
    <row r="88" spans="1:33" ht="21.5" thickTop="1" thickBot="1" x14ac:dyDescent="0.85">
      <c r="A88" t="s">
        <v>959</v>
      </c>
      <c r="B88" s="83" t="s">
        <v>960</v>
      </c>
      <c r="C88" s="79" t="s">
        <v>801</v>
      </c>
      <c r="D88" s="79">
        <v>3</v>
      </c>
      <c r="E88" s="133">
        <v>0</v>
      </c>
      <c r="F88" s="133">
        <v>0</v>
      </c>
      <c r="G88" s="133">
        <v>0</v>
      </c>
      <c r="H88" s="133">
        <v>0</v>
      </c>
      <c r="I88" s="133">
        <v>0</v>
      </c>
      <c r="J88" s="133">
        <v>9.0300000000000005E-4</v>
      </c>
      <c r="K88" s="134">
        <v>0</v>
      </c>
      <c r="M88" s="135">
        <v>0</v>
      </c>
      <c r="N88" s="133">
        <v>0</v>
      </c>
      <c r="O88" s="133">
        <v>0</v>
      </c>
      <c r="P88" s="133">
        <v>0</v>
      </c>
      <c r="Q88" s="133">
        <v>0</v>
      </c>
      <c r="R88" s="133">
        <v>0</v>
      </c>
      <c r="S88" s="134">
        <v>0</v>
      </c>
      <c r="U88" s="90"/>
      <c r="V88" s="94">
        <v>10</v>
      </c>
      <c r="W88" s="85">
        <v>7</v>
      </c>
      <c r="X88" s="85">
        <v>1</v>
      </c>
      <c r="Y88" s="93">
        <v>10</v>
      </c>
      <c r="Z88" s="107">
        <f t="shared" si="2"/>
        <v>0</v>
      </c>
      <c r="AA88" s="80">
        <v>0</v>
      </c>
      <c r="AB88" s="80"/>
      <c r="AC88" s="80"/>
      <c r="AD88" s="105">
        <v>7</v>
      </c>
      <c r="AE88" s="98" t="s">
        <v>802</v>
      </c>
      <c r="AF88" s="113">
        <v>2</v>
      </c>
      <c r="AG88" s="77" t="s">
        <v>814</v>
      </c>
    </row>
    <row r="89" spans="1:33" ht="21.5" thickTop="1" thickBot="1" x14ac:dyDescent="0.85">
      <c r="A89" t="s">
        <v>961</v>
      </c>
      <c r="B89" s="81" t="s">
        <v>962</v>
      </c>
      <c r="C89" s="79" t="s">
        <v>801</v>
      </c>
      <c r="D89" s="79">
        <v>3</v>
      </c>
      <c r="E89" s="133">
        <v>0</v>
      </c>
      <c r="F89" s="133">
        <v>8.2160759999999999E-2</v>
      </c>
      <c r="G89" s="133">
        <v>7.9066220000000006E-2</v>
      </c>
      <c r="H89" s="133">
        <v>1.368512E-2</v>
      </c>
      <c r="I89" s="133">
        <v>0</v>
      </c>
      <c r="J89" s="133">
        <v>0</v>
      </c>
      <c r="K89" s="134">
        <v>0</v>
      </c>
      <c r="M89" s="135">
        <v>0</v>
      </c>
      <c r="N89" s="133">
        <v>0</v>
      </c>
      <c r="O89" s="133">
        <v>0</v>
      </c>
      <c r="P89" s="133">
        <v>0</v>
      </c>
      <c r="Q89" s="133">
        <v>0</v>
      </c>
      <c r="R89" s="133">
        <v>0</v>
      </c>
      <c r="S89" s="134">
        <v>0</v>
      </c>
      <c r="U89" s="80"/>
      <c r="V89" s="94"/>
      <c r="W89" s="85"/>
      <c r="X89" s="85">
        <v>6</v>
      </c>
      <c r="Y89" s="93">
        <v>10</v>
      </c>
      <c r="Z89" s="107">
        <f t="shared" si="2"/>
        <v>17</v>
      </c>
      <c r="AA89" s="107">
        <v>17</v>
      </c>
      <c r="AB89" s="80"/>
      <c r="AC89" s="80"/>
      <c r="AD89" s="105">
        <v>4</v>
      </c>
      <c r="AE89" s="98" t="s">
        <v>802</v>
      </c>
      <c r="AF89" s="113">
        <v>2</v>
      </c>
      <c r="AG89" s="77" t="s">
        <v>814</v>
      </c>
    </row>
    <row r="90" spans="1:33" ht="21.5" thickTop="1" thickBot="1" x14ac:dyDescent="0.85">
      <c r="A90" t="s">
        <v>963</v>
      </c>
      <c r="B90" s="81" t="s">
        <v>964</v>
      </c>
      <c r="C90" s="79" t="s">
        <v>801</v>
      </c>
      <c r="D90" s="79">
        <v>3</v>
      </c>
      <c r="E90" s="133">
        <v>0</v>
      </c>
      <c r="F90" s="133">
        <v>0</v>
      </c>
      <c r="G90" s="133">
        <v>0</v>
      </c>
      <c r="H90" s="133">
        <v>0</v>
      </c>
      <c r="I90" s="133">
        <v>0</v>
      </c>
      <c r="J90" s="133">
        <v>9.0300000000000005E-4</v>
      </c>
      <c r="K90" s="134">
        <v>0</v>
      </c>
      <c r="M90" s="135">
        <v>0</v>
      </c>
      <c r="N90" s="133">
        <v>0</v>
      </c>
      <c r="O90" s="133">
        <v>0</v>
      </c>
      <c r="P90" s="133">
        <v>0</v>
      </c>
      <c r="Q90" s="133">
        <v>0</v>
      </c>
      <c r="R90" s="133">
        <v>0</v>
      </c>
      <c r="S90" s="134">
        <v>0</v>
      </c>
      <c r="U90" s="90">
        <v>6</v>
      </c>
      <c r="V90" s="94">
        <v>13</v>
      </c>
      <c r="W90" s="85">
        <v>5</v>
      </c>
      <c r="X90" s="90">
        <v>3</v>
      </c>
      <c r="Y90" s="93">
        <v>10</v>
      </c>
      <c r="Z90" s="107">
        <f t="shared" si="2"/>
        <v>0</v>
      </c>
      <c r="AA90" s="80">
        <v>0</v>
      </c>
      <c r="AB90" s="80"/>
      <c r="AC90" s="80"/>
      <c r="AD90" s="105">
        <v>7</v>
      </c>
      <c r="AE90" s="98" t="s">
        <v>802</v>
      </c>
      <c r="AF90" s="113">
        <v>2</v>
      </c>
      <c r="AG90" s="77" t="s">
        <v>814</v>
      </c>
    </row>
    <row r="91" spans="1:33" ht="21.5" thickTop="1" thickBot="1" x14ac:dyDescent="0.85">
      <c r="A91" t="s">
        <v>965</v>
      </c>
      <c r="B91" s="81" t="s">
        <v>966</v>
      </c>
      <c r="C91" s="79" t="s">
        <v>801</v>
      </c>
      <c r="D91" s="79">
        <v>3</v>
      </c>
      <c r="E91" s="133">
        <v>0</v>
      </c>
      <c r="F91" s="133">
        <v>7.3542E-3</v>
      </c>
      <c r="G91" s="133">
        <v>0</v>
      </c>
      <c r="H91" s="133">
        <v>0</v>
      </c>
      <c r="I91" s="133">
        <v>0</v>
      </c>
      <c r="J91" s="133">
        <v>0</v>
      </c>
      <c r="K91" s="134">
        <v>0</v>
      </c>
      <c r="M91" s="135">
        <v>0</v>
      </c>
      <c r="N91" s="133">
        <v>0</v>
      </c>
      <c r="O91" s="133">
        <v>0</v>
      </c>
      <c r="P91" s="133">
        <v>0</v>
      </c>
      <c r="Q91" s="133">
        <v>0</v>
      </c>
      <c r="R91" s="133">
        <v>0</v>
      </c>
      <c r="S91" s="134">
        <v>0</v>
      </c>
      <c r="U91" s="80"/>
      <c r="V91" s="94"/>
      <c r="W91" s="85"/>
      <c r="X91" s="85">
        <v>5</v>
      </c>
      <c r="Y91" s="93">
        <v>10</v>
      </c>
      <c r="Z91" s="107">
        <f t="shared" si="2"/>
        <v>0.44</v>
      </c>
      <c r="AA91" s="107">
        <v>0.44</v>
      </c>
      <c r="AB91" s="80"/>
      <c r="AC91" s="80"/>
      <c r="AD91" s="105">
        <v>3</v>
      </c>
      <c r="AE91" s="98" t="s">
        <v>802</v>
      </c>
      <c r="AF91" s="113">
        <v>2</v>
      </c>
      <c r="AG91" s="77" t="s">
        <v>814</v>
      </c>
    </row>
    <row r="92" spans="1:33" ht="21.5" thickTop="1" thickBot="1" x14ac:dyDescent="0.85">
      <c r="A92" t="s">
        <v>967</v>
      </c>
      <c r="B92" s="81" t="s">
        <v>968</v>
      </c>
      <c r="C92" s="79" t="s">
        <v>801</v>
      </c>
      <c r="D92" s="79">
        <v>3</v>
      </c>
      <c r="E92" s="133">
        <v>0</v>
      </c>
      <c r="F92" s="133">
        <v>0.32620569999999999</v>
      </c>
      <c r="G92" s="133">
        <v>0.37778690999999998</v>
      </c>
      <c r="H92" s="133">
        <v>0.10793899999999999</v>
      </c>
      <c r="I92" s="133">
        <v>0</v>
      </c>
      <c r="J92" s="133">
        <v>0</v>
      </c>
      <c r="K92" s="134">
        <v>0</v>
      </c>
      <c r="M92" s="135">
        <v>0</v>
      </c>
      <c r="N92" s="133">
        <v>0</v>
      </c>
      <c r="O92" s="133">
        <v>0</v>
      </c>
      <c r="P92" s="133">
        <v>0</v>
      </c>
      <c r="Q92" s="133">
        <v>0</v>
      </c>
      <c r="R92" s="133">
        <v>0</v>
      </c>
      <c r="S92" s="134">
        <v>0</v>
      </c>
      <c r="U92" s="90">
        <v>11</v>
      </c>
      <c r="V92" s="94">
        <v>28</v>
      </c>
      <c r="W92" s="85">
        <v>15</v>
      </c>
      <c r="X92" s="85">
        <v>5</v>
      </c>
      <c r="Y92" s="93">
        <v>10</v>
      </c>
      <c r="Z92" s="107">
        <f t="shared" si="2"/>
        <v>871.2</v>
      </c>
      <c r="AA92" s="80"/>
      <c r="AB92" s="80"/>
      <c r="AC92" s="80">
        <f>660*1.32</f>
        <v>871.2</v>
      </c>
      <c r="AD92" s="105">
        <v>19.5</v>
      </c>
      <c r="AE92" s="98" t="s">
        <v>802</v>
      </c>
      <c r="AF92" s="113">
        <v>2</v>
      </c>
      <c r="AG92" s="77" t="s">
        <v>814</v>
      </c>
    </row>
    <row r="93" spans="1:33" ht="21.5" thickTop="1" thickBot="1" x14ac:dyDescent="0.85">
      <c r="A93" t="s">
        <v>969</v>
      </c>
      <c r="B93" s="81" t="s">
        <v>970</v>
      </c>
      <c r="C93" s="79" t="s">
        <v>801</v>
      </c>
      <c r="D93" s="79">
        <v>3</v>
      </c>
      <c r="E93" s="133">
        <v>0</v>
      </c>
      <c r="F93" s="133">
        <v>7.3542E-3</v>
      </c>
      <c r="G93" s="133">
        <v>0</v>
      </c>
      <c r="H93" s="133">
        <v>0</v>
      </c>
      <c r="I93" s="133">
        <v>0</v>
      </c>
      <c r="J93" s="133">
        <v>0</v>
      </c>
      <c r="K93" s="134">
        <v>0</v>
      </c>
      <c r="M93" s="135">
        <v>0</v>
      </c>
      <c r="N93" s="133">
        <v>0</v>
      </c>
      <c r="O93" s="133">
        <v>0</v>
      </c>
      <c r="P93" s="133">
        <v>0</v>
      </c>
      <c r="Q93" s="133">
        <v>0</v>
      </c>
      <c r="R93" s="133">
        <v>0</v>
      </c>
      <c r="S93" s="134">
        <v>0</v>
      </c>
      <c r="U93" s="80"/>
      <c r="V93" s="94"/>
      <c r="W93" s="85"/>
      <c r="X93" s="85">
        <v>3</v>
      </c>
      <c r="Y93" s="93">
        <v>10</v>
      </c>
      <c r="Z93" s="107">
        <f t="shared" si="2"/>
        <v>0.24</v>
      </c>
      <c r="AA93" s="107">
        <f>0.24</f>
        <v>0.24</v>
      </c>
      <c r="AB93" s="80"/>
      <c r="AC93" s="80"/>
      <c r="AD93" s="105">
        <v>1</v>
      </c>
      <c r="AE93" s="98" t="s">
        <v>802</v>
      </c>
      <c r="AF93" s="113">
        <v>2</v>
      </c>
      <c r="AG93" s="77" t="s">
        <v>803</v>
      </c>
    </row>
    <row r="94" spans="1:33" ht="21.5" thickTop="1" thickBot="1" x14ac:dyDescent="0.85">
      <c r="A94" t="s">
        <v>971</v>
      </c>
      <c r="B94" s="81" t="s">
        <v>972</v>
      </c>
      <c r="C94" s="79" t="s">
        <v>801</v>
      </c>
      <c r="D94" s="79">
        <v>3</v>
      </c>
      <c r="E94" s="133">
        <v>0</v>
      </c>
      <c r="F94" s="133">
        <v>0.27563297999999997</v>
      </c>
      <c r="G94" s="133">
        <v>0.45329191999999996</v>
      </c>
      <c r="H94" s="133">
        <v>0.29100121000000001</v>
      </c>
      <c r="I94" s="133">
        <v>0</v>
      </c>
      <c r="J94" s="133">
        <v>0</v>
      </c>
      <c r="K94" s="134">
        <v>0</v>
      </c>
      <c r="M94" s="135">
        <v>0</v>
      </c>
      <c r="N94" s="133">
        <v>0</v>
      </c>
      <c r="O94" s="133">
        <v>1.2585E-4</v>
      </c>
      <c r="P94" s="133">
        <v>1.63605E-3</v>
      </c>
      <c r="Q94" s="133">
        <v>3.0204099999999998E-3</v>
      </c>
      <c r="R94" s="133">
        <v>3.0205200000000001E-3</v>
      </c>
      <c r="S94" s="134">
        <v>3.0205200000000001E-3</v>
      </c>
      <c r="U94" s="80"/>
      <c r="V94" s="94"/>
      <c r="W94" s="85"/>
      <c r="X94" s="85">
        <v>9</v>
      </c>
      <c r="Y94" s="93">
        <v>10</v>
      </c>
      <c r="Z94" s="107">
        <f t="shared" si="2"/>
        <v>433.25</v>
      </c>
      <c r="AA94" s="109">
        <v>433.25</v>
      </c>
      <c r="AB94" s="80"/>
      <c r="AC94" s="80"/>
      <c r="AD94" s="105">
        <v>7</v>
      </c>
      <c r="AE94" s="98" t="s">
        <v>802</v>
      </c>
      <c r="AF94" s="113">
        <v>2</v>
      </c>
      <c r="AG94" s="77" t="s">
        <v>814</v>
      </c>
    </row>
    <row r="95" spans="1:33" ht="21.5" thickTop="1" thickBot="1" x14ac:dyDescent="0.85">
      <c r="A95" t="s">
        <v>973</v>
      </c>
      <c r="B95" s="81" t="s">
        <v>974</v>
      </c>
      <c r="C95" s="79" t="s">
        <v>801</v>
      </c>
      <c r="D95" s="79">
        <v>3</v>
      </c>
      <c r="E95" s="133">
        <v>0</v>
      </c>
      <c r="F95" s="133">
        <v>7.3542E-3</v>
      </c>
      <c r="G95" s="133">
        <v>0</v>
      </c>
      <c r="H95" s="133">
        <v>0</v>
      </c>
      <c r="I95" s="133">
        <v>0</v>
      </c>
      <c r="J95" s="133">
        <v>0</v>
      </c>
      <c r="K95" s="134">
        <v>0</v>
      </c>
      <c r="M95" s="135">
        <v>0</v>
      </c>
      <c r="N95" s="133">
        <v>0</v>
      </c>
      <c r="O95" s="133">
        <v>0</v>
      </c>
      <c r="P95" s="133">
        <v>0</v>
      </c>
      <c r="Q95" s="133">
        <v>0</v>
      </c>
      <c r="R95" s="133">
        <v>0</v>
      </c>
      <c r="S95" s="134">
        <v>0</v>
      </c>
      <c r="U95" s="80"/>
      <c r="V95" s="94"/>
      <c r="W95" s="85"/>
      <c r="X95" s="85">
        <v>5</v>
      </c>
      <c r="Y95" s="93">
        <v>10</v>
      </c>
      <c r="Z95" s="107">
        <f t="shared" si="2"/>
        <v>1.58</v>
      </c>
      <c r="AA95" s="121">
        <v>1.58</v>
      </c>
      <c r="AB95" s="80"/>
      <c r="AC95" s="80"/>
      <c r="AD95" s="105">
        <v>3</v>
      </c>
      <c r="AE95" s="98"/>
      <c r="AF95" s="113">
        <v>2</v>
      </c>
      <c r="AG95" s="77" t="s">
        <v>803</v>
      </c>
    </row>
    <row r="96" spans="1:33" ht="21.5" thickTop="1" thickBot="1" x14ac:dyDescent="0.85">
      <c r="A96" t="s">
        <v>975</v>
      </c>
      <c r="B96" s="81" t="s">
        <v>976</v>
      </c>
      <c r="C96" s="79" t="s">
        <v>801</v>
      </c>
      <c r="D96" s="79">
        <v>3</v>
      </c>
      <c r="E96" s="133">
        <v>0</v>
      </c>
      <c r="F96" s="133">
        <v>0.49461011999999999</v>
      </c>
      <c r="G96" s="133">
        <v>1.09615046</v>
      </c>
      <c r="H96" s="133">
        <v>1.0534931699999999</v>
      </c>
      <c r="I96" s="133">
        <v>0.21194107000000001</v>
      </c>
      <c r="J96" s="133">
        <v>0</v>
      </c>
      <c r="K96" s="134">
        <v>0</v>
      </c>
      <c r="M96" s="135">
        <v>0</v>
      </c>
      <c r="N96" s="133">
        <v>0</v>
      </c>
      <c r="O96" s="133">
        <v>0</v>
      </c>
      <c r="P96" s="133">
        <v>1.2791840000000001E-2</v>
      </c>
      <c r="Q96" s="133">
        <v>3.1979599999999997E-2</v>
      </c>
      <c r="R96" s="133">
        <v>3.8375599999999996E-2</v>
      </c>
      <c r="S96" s="134">
        <v>3.8375640000000003E-2</v>
      </c>
      <c r="U96" s="80"/>
      <c r="V96" s="94"/>
      <c r="W96" s="85"/>
      <c r="X96" s="85">
        <v>51</v>
      </c>
      <c r="Y96" s="93">
        <v>10</v>
      </c>
      <c r="Z96" s="107">
        <f t="shared" si="2"/>
        <v>2602</v>
      </c>
      <c r="AA96" s="109">
        <v>1041</v>
      </c>
      <c r="AB96" s="80"/>
      <c r="AC96" s="109">
        <f>2602-AA96</f>
        <v>1561</v>
      </c>
      <c r="AD96" s="105">
        <v>49</v>
      </c>
      <c r="AE96" s="98" t="s">
        <v>802</v>
      </c>
      <c r="AF96" s="113">
        <v>2</v>
      </c>
      <c r="AG96" s="77" t="s">
        <v>814</v>
      </c>
    </row>
    <row r="97" spans="1:33" ht="21.5" thickTop="1" thickBot="1" x14ac:dyDescent="0.85">
      <c r="A97" t="s">
        <v>977</v>
      </c>
      <c r="B97" s="81" t="s">
        <v>978</v>
      </c>
      <c r="C97" s="79" t="s">
        <v>801</v>
      </c>
      <c r="D97" s="79">
        <v>3</v>
      </c>
      <c r="E97" s="133">
        <v>0</v>
      </c>
      <c r="F97" s="133">
        <v>0.28798461999999997</v>
      </c>
      <c r="G97" s="133">
        <v>0.50558884000000004</v>
      </c>
      <c r="H97" s="133">
        <v>0.36514103999999997</v>
      </c>
      <c r="I97" s="133">
        <v>0</v>
      </c>
      <c r="J97" s="133">
        <v>0</v>
      </c>
      <c r="K97" s="134">
        <v>0</v>
      </c>
      <c r="M97" s="135">
        <v>0</v>
      </c>
      <c r="N97" s="133">
        <v>0</v>
      </c>
      <c r="O97" s="133">
        <v>0</v>
      </c>
      <c r="P97" s="133">
        <v>1.2386400000000001E-3</v>
      </c>
      <c r="Q97" s="133">
        <v>2.4774000000000003E-3</v>
      </c>
      <c r="R97" s="133">
        <v>2.4774000000000003E-3</v>
      </c>
      <c r="S97" s="134">
        <v>2.4774000000000003E-3</v>
      </c>
      <c r="U97" s="90">
        <v>36</v>
      </c>
      <c r="V97" s="94">
        <v>23</v>
      </c>
      <c r="W97" s="85">
        <v>13</v>
      </c>
      <c r="X97" s="85">
        <v>45</v>
      </c>
      <c r="Y97" s="93">
        <v>10</v>
      </c>
      <c r="Z97" s="107">
        <f t="shared" si="2"/>
        <v>647</v>
      </c>
      <c r="AA97" s="109">
        <v>259</v>
      </c>
      <c r="AB97" s="80"/>
      <c r="AC97" s="109">
        <f>647-AA97</f>
        <v>388</v>
      </c>
      <c r="AD97" s="105">
        <v>16</v>
      </c>
      <c r="AE97" s="98" t="s">
        <v>802</v>
      </c>
      <c r="AF97" s="113"/>
      <c r="AG97" s="77" t="s">
        <v>803</v>
      </c>
    </row>
    <row r="98" spans="1:33" ht="21.5" thickTop="1" thickBot="1" x14ac:dyDescent="0.85">
      <c r="A98" t="s">
        <v>979</v>
      </c>
      <c r="B98" s="81" t="s">
        <v>980</v>
      </c>
      <c r="C98" s="79" t="s">
        <v>801</v>
      </c>
      <c r="D98" s="79">
        <v>3</v>
      </c>
      <c r="E98" s="133">
        <v>0</v>
      </c>
      <c r="F98" s="133">
        <v>0.32195244000000001</v>
      </c>
      <c r="G98" s="133">
        <v>0.37286114000000004</v>
      </c>
      <c r="H98" s="133">
        <v>0.10653163</v>
      </c>
      <c r="I98" s="133">
        <v>0</v>
      </c>
      <c r="J98" s="133">
        <v>0</v>
      </c>
      <c r="K98" s="134">
        <v>0</v>
      </c>
      <c r="M98" s="135">
        <v>0</v>
      </c>
      <c r="N98" s="133">
        <v>0</v>
      </c>
      <c r="O98" s="133">
        <v>2.0327999999999999E-4</v>
      </c>
      <c r="P98" s="133">
        <v>5.5175999999999999E-4</v>
      </c>
      <c r="Q98" s="133">
        <v>6.9689000000000003E-4</v>
      </c>
      <c r="R98" s="133">
        <v>6.9684E-4</v>
      </c>
      <c r="S98" s="134">
        <v>6.9684E-4</v>
      </c>
      <c r="U98" s="90">
        <v>308</v>
      </c>
      <c r="V98" s="94">
        <v>55</v>
      </c>
      <c r="W98" s="85">
        <v>17</v>
      </c>
      <c r="X98" s="85">
        <v>47</v>
      </c>
      <c r="Y98" s="93">
        <v>10</v>
      </c>
      <c r="Z98" s="107">
        <f t="shared" si="2"/>
        <v>284</v>
      </c>
      <c r="AA98" s="80">
        <v>108</v>
      </c>
      <c r="AB98" s="80"/>
      <c r="AC98" s="80">
        <f>284-AA98</f>
        <v>176</v>
      </c>
      <c r="AD98" s="105">
        <v>26</v>
      </c>
      <c r="AE98" s="98"/>
      <c r="AF98" s="114"/>
      <c r="AG98" s="77" t="s">
        <v>803</v>
      </c>
    </row>
    <row r="99" spans="1:33" ht="21.5" thickTop="1" thickBot="1" x14ac:dyDescent="0.85">
      <c r="A99" t="s">
        <v>981</v>
      </c>
      <c r="B99" s="81" t="s">
        <v>982</v>
      </c>
      <c r="C99" s="79" t="s">
        <v>801</v>
      </c>
      <c r="D99" s="79">
        <v>3</v>
      </c>
      <c r="E99" s="133">
        <v>0</v>
      </c>
      <c r="F99" s="133">
        <v>2.578855E-2</v>
      </c>
      <c r="G99" s="133">
        <v>1.0823870000000001E-2</v>
      </c>
      <c r="H99" s="133">
        <v>0</v>
      </c>
      <c r="I99" s="133">
        <v>0</v>
      </c>
      <c r="J99" s="133">
        <v>0</v>
      </c>
      <c r="K99" s="134">
        <v>0</v>
      </c>
      <c r="M99" s="135">
        <v>0</v>
      </c>
      <c r="N99" s="133">
        <v>0</v>
      </c>
      <c r="O99" s="133">
        <v>0</v>
      </c>
      <c r="P99" s="133">
        <v>0</v>
      </c>
      <c r="Q99" s="133">
        <v>0</v>
      </c>
      <c r="R99" s="133">
        <v>0</v>
      </c>
      <c r="S99" s="134">
        <v>0</v>
      </c>
      <c r="U99" s="90">
        <v>4</v>
      </c>
      <c r="V99" s="94">
        <v>13</v>
      </c>
      <c r="W99" s="85">
        <v>8</v>
      </c>
      <c r="X99" s="85">
        <v>12</v>
      </c>
      <c r="Y99" s="93">
        <v>10</v>
      </c>
      <c r="Z99" s="107">
        <f t="shared" si="2"/>
        <v>1.58</v>
      </c>
      <c r="AA99" s="80">
        <v>1.58</v>
      </c>
      <c r="AB99" s="80"/>
      <c r="AC99" s="80"/>
      <c r="AD99" s="105">
        <v>0.5</v>
      </c>
      <c r="AE99" s="98"/>
      <c r="AF99" s="113"/>
      <c r="AG99" s="77" t="s">
        <v>814</v>
      </c>
    </row>
    <row r="100" spans="1:33" ht="21.5" thickTop="1" thickBot="1" x14ac:dyDescent="0.85">
      <c r="A100" t="s">
        <v>983</v>
      </c>
      <c r="B100" s="81" t="s">
        <v>984</v>
      </c>
      <c r="C100" s="79" t="s">
        <v>801</v>
      </c>
      <c r="D100" s="79">
        <v>3</v>
      </c>
      <c r="E100" s="133">
        <v>0</v>
      </c>
      <c r="F100" s="133">
        <v>7.2752770000000008E-2</v>
      </c>
      <c r="G100" s="133">
        <v>8.425676E-2</v>
      </c>
      <c r="H100" s="133">
        <v>2.4073349999999997E-2</v>
      </c>
      <c r="I100" s="133">
        <v>0</v>
      </c>
      <c r="J100" s="133">
        <v>0</v>
      </c>
      <c r="K100" s="134">
        <v>0</v>
      </c>
      <c r="M100" s="135">
        <v>0</v>
      </c>
      <c r="N100" s="133">
        <v>0</v>
      </c>
      <c r="O100" s="133">
        <v>0</v>
      </c>
      <c r="P100" s="133">
        <v>0</v>
      </c>
      <c r="Q100" s="133">
        <v>0</v>
      </c>
      <c r="R100" s="133">
        <v>0</v>
      </c>
      <c r="S100" s="134">
        <v>0</v>
      </c>
      <c r="U100" s="90">
        <v>3</v>
      </c>
      <c r="V100" s="94">
        <v>14</v>
      </c>
      <c r="W100" s="85">
        <v>1</v>
      </c>
      <c r="X100" s="85">
        <v>14</v>
      </c>
      <c r="Y100" s="93">
        <v>10</v>
      </c>
      <c r="Z100" s="107">
        <f t="shared" si="2"/>
        <v>23.28</v>
      </c>
      <c r="AA100" s="80"/>
      <c r="AB100" s="80"/>
      <c r="AC100" s="80">
        <v>23.28</v>
      </c>
      <c r="AD100" s="105">
        <v>4</v>
      </c>
      <c r="AE100" s="98" t="s">
        <v>802</v>
      </c>
      <c r="AF100" s="114"/>
      <c r="AG100" s="77" t="s">
        <v>803</v>
      </c>
    </row>
    <row r="101" spans="1:33" ht="21.5" thickTop="1" thickBot="1" x14ac:dyDescent="0.85">
      <c r="A101" t="s">
        <v>985</v>
      </c>
      <c r="B101" s="81" t="s">
        <v>986</v>
      </c>
      <c r="C101" s="79" t="s">
        <v>801</v>
      </c>
      <c r="D101" s="79">
        <v>3</v>
      </c>
      <c r="E101" s="133">
        <v>0</v>
      </c>
      <c r="F101" s="133">
        <v>6.1937400000000004E-2</v>
      </c>
      <c r="G101" s="133">
        <v>5.3732929999999998E-2</v>
      </c>
      <c r="H101" s="133">
        <v>0</v>
      </c>
      <c r="I101" s="133">
        <v>0</v>
      </c>
      <c r="J101" s="133">
        <v>0</v>
      </c>
      <c r="K101" s="134">
        <v>0</v>
      </c>
      <c r="M101" s="135">
        <v>0</v>
      </c>
      <c r="N101" s="133">
        <v>0</v>
      </c>
      <c r="O101" s="133">
        <v>0</v>
      </c>
      <c r="P101" s="133">
        <v>0</v>
      </c>
      <c r="Q101" s="133">
        <v>0</v>
      </c>
      <c r="R101" s="133">
        <v>0</v>
      </c>
      <c r="S101" s="134">
        <v>0</v>
      </c>
      <c r="U101" s="90">
        <v>8</v>
      </c>
      <c r="V101" s="94">
        <v>15</v>
      </c>
      <c r="W101" s="85">
        <v>5</v>
      </c>
      <c r="X101" s="85">
        <v>63</v>
      </c>
      <c r="Y101" s="93">
        <v>10</v>
      </c>
      <c r="Z101" s="107">
        <f t="shared" si="2"/>
        <v>109.82400000000001</v>
      </c>
      <c r="AA101" s="126"/>
      <c r="AB101" s="80"/>
      <c r="AC101" s="80">
        <f>83.2*1.32</f>
        <v>109.82400000000001</v>
      </c>
      <c r="AD101" s="105">
        <v>5</v>
      </c>
      <c r="AE101" s="98"/>
      <c r="AF101" s="114"/>
      <c r="AG101" s="77" t="s">
        <v>803</v>
      </c>
    </row>
    <row r="102" spans="1:33" ht="16.5" customHeight="1" thickTop="1" thickBot="1" x14ac:dyDescent="0.85">
      <c r="A102" t="s">
        <v>987</v>
      </c>
      <c r="B102" s="81" t="s">
        <v>988</v>
      </c>
      <c r="C102" s="79" t="s">
        <v>801</v>
      </c>
      <c r="D102" s="79">
        <v>3</v>
      </c>
      <c r="E102" s="133">
        <v>0</v>
      </c>
      <c r="F102" s="133">
        <v>0.29813416999999998</v>
      </c>
      <c r="G102" s="133">
        <v>0.52340753000000007</v>
      </c>
      <c r="H102" s="133">
        <v>0.37800990000000001</v>
      </c>
      <c r="I102" s="133">
        <v>0</v>
      </c>
      <c r="J102" s="133">
        <v>0</v>
      </c>
      <c r="K102" s="134">
        <v>0</v>
      </c>
      <c r="M102" s="135">
        <v>0</v>
      </c>
      <c r="N102" s="133">
        <v>0</v>
      </c>
      <c r="O102" s="133">
        <v>0</v>
      </c>
      <c r="P102" s="133">
        <v>1.5301199999999998E-3</v>
      </c>
      <c r="Q102" s="133">
        <v>3.0602399999999997E-3</v>
      </c>
      <c r="R102" s="133">
        <v>3.0602399999999997E-3</v>
      </c>
      <c r="S102" s="134">
        <v>3.0602399999999997E-3</v>
      </c>
      <c r="U102" s="90">
        <v>24</v>
      </c>
      <c r="V102" s="94">
        <v>30</v>
      </c>
      <c r="W102" s="85">
        <v>23</v>
      </c>
      <c r="X102" s="85">
        <v>53</v>
      </c>
      <c r="Y102" s="93">
        <v>10</v>
      </c>
      <c r="Z102" s="107">
        <f t="shared" si="2"/>
        <v>572.29999999999995</v>
      </c>
      <c r="AA102" s="109">
        <v>572.29999999999995</v>
      </c>
      <c r="AB102" s="127"/>
      <c r="AC102" s="80"/>
      <c r="AD102" s="105">
        <v>16.5</v>
      </c>
      <c r="AE102" s="98"/>
      <c r="AF102" s="114"/>
      <c r="AG102" s="77" t="s">
        <v>803</v>
      </c>
    </row>
    <row r="103" spans="1:33" ht="21.5" thickTop="1" thickBot="1" x14ac:dyDescent="0.85">
      <c r="A103" t="s">
        <v>989</v>
      </c>
      <c r="B103" s="81" t="s">
        <v>990</v>
      </c>
      <c r="C103" s="79" t="s">
        <v>801</v>
      </c>
      <c r="D103" s="79">
        <v>3</v>
      </c>
      <c r="E103" s="133">
        <v>8.7303600000000012E-3</v>
      </c>
      <c r="F103" s="133">
        <v>1.39434E-2</v>
      </c>
      <c r="G103" s="133">
        <v>1.39434E-2</v>
      </c>
      <c r="H103" s="133">
        <v>0</v>
      </c>
      <c r="I103" s="133">
        <v>0</v>
      </c>
      <c r="J103" s="133">
        <v>0</v>
      </c>
      <c r="K103" s="134">
        <v>0</v>
      </c>
      <c r="M103" s="135">
        <v>0</v>
      </c>
      <c r="N103" s="133">
        <v>0</v>
      </c>
      <c r="O103" s="133">
        <v>0</v>
      </c>
      <c r="P103" s="133">
        <v>0</v>
      </c>
      <c r="Q103" s="133">
        <v>0</v>
      </c>
      <c r="R103" s="133">
        <v>0</v>
      </c>
      <c r="S103" s="134">
        <v>0</v>
      </c>
      <c r="U103" s="90">
        <v>5</v>
      </c>
      <c r="V103" s="94">
        <v>10</v>
      </c>
      <c r="W103" s="85">
        <v>14</v>
      </c>
      <c r="X103" s="85">
        <v>12</v>
      </c>
      <c r="Y103" s="93">
        <v>10</v>
      </c>
      <c r="Z103" s="107">
        <f t="shared" si="2"/>
        <v>2.5739999999999998</v>
      </c>
      <c r="AA103" s="80"/>
      <c r="AB103" s="80"/>
      <c r="AC103" s="80">
        <f>1.95*1.32</f>
        <v>2.5739999999999998</v>
      </c>
      <c r="AD103" s="105">
        <v>2</v>
      </c>
      <c r="AE103" s="98" t="s">
        <v>802</v>
      </c>
      <c r="AF103" s="114"/>
      <c r="AG103" s="77" t="s">
        <v>803</v>
      </c>
    </row>
    <row r="104" spans="1:33" ht="21.5" thickTop="1" thickBot="1" x14ac:dyDescent="0.85">
      <c r="A104" t="s">
        <v>991</v>
      </c>
      <c r="B104" s="81" t="s">
        <v>992</v>
      </c>
      <c r="C104" s="79" t="s">
        <v>801</v>
      </c>
      <c r="D104" s="79">
        <v>3</v>
      </c>
      <c r="E104" s="133">
        <v>0</v>
      </c>
      <c r="F104" s="133">
        <v>0</v>
      </c>
      <c r="G104" s="133">
        <v>0</v>
      </c>
      <c r="H104" s="133">
        <v>0.14257298999999998</v>
      </c>
      <c r="I104" s="133">
        <v>0.30459385999999999</v>
      </c>
      <c r="J104" s="133">
        <v>0.22303318999999999</v>
      </c>
      <c r="K104" s="134">
        <v>0</v>
      </c>
      <c r="M104" s="135">
        <v>0</v>
      </c>
      <c r="N104" s="133">
        <v>0</v>
      </c>
      <c r="O104" s="133">
        <v>0</v>
      </c>
      <c r="P104" s="133">
        <v>0</v>
      </c>
      <c r="Q104" s="133">
        <v>0</v>
      </c>
      <c r="R104" s="133">
        <v>0</v>
      </c>
      <c r="S104" s="134">
        <v>0</v>
      </c>
      <c r="U104" s="80"/>
      <c r="V104" s="96"/>
      <c r="W104" s="85"/>
      <c r="X104" s="85">
        <v>31</v>
      </c>
      <c r="Y104" s="93">
        <v>10</v>
      </c>
      <c r="Z104" s="107">
        <f t="shared" si="2"/>
        <v>873</v>
      </c>
      <c r="AA104" s="80"/>
      <c r="AB104" s="80"/>
      <c r="AC104" s="80">
        <v>873</v>
      </c>
      <c r="AD104" s="105">
        <v>21</v>
      </c>
      <c r="AE104" s="85"/>
      <c r="AF104" s="114"/>
      <c r="AG104" s="77" t="s">
        <v>803</v>
      </c>
    </row>
    <row r="105" spans="1:33" ht="21.5" thickTop="1" thickBot="1" x14ac:dyDescent="0.85">
      <c r="A105" t="s">
        <v>993</v>
      </c>
      <c r="B105" s="81" t="s">
        <v>994</v>
      </c>
      <c r="C105" s="79" t="s">
        <v>801</v>
      </c>
      <c r="D105" s="79">
        <v>3</v>
      </c>
      <c r="E105" s="133">
        <v>0</v>
      </c>
      <c r="F105" s="133">
        <v>0.37015435999999996</v>
      </c>
      <c r="G105" s="133">
        <v>0.42868490000000004</v>
      </c>
      <c r="H105" s="133">
        <v>0.12248127</v>
      </c>
      <c r="I105" s="133">
        <v>0</v>
      </c>
      <c r="J105" s="133">
        <v>0</v>
      </c>
      <c r="K105" s="134">
        <v>0</v>
      </c>
      <c r="M105" s="135">
        <v>0</v>
      </c>
      <c r="N105" s="133">
        <v>0</v>
      </c>
      <c r="O105" s="133">
        <v>0</v>
      </c>
      <c r="P105" s="133">
        <v>0</v>
      </c>
      <c r="Q105" s="133">
        <v>0</v>
      </c>
      <c r="R105" s="133">
        <v>0</v>
      </c>
      <c r="S105" s="134">
        <v>0</v>
      </c>
      <c r="U105" s="90">
        <v>9</v>
      </c>
      <c r="V105" s="94">
        <v>25</v>
      </c>
      <c r="W105" s="85">
        <v>7</v>
      </c>
      <c r="X105" s="85">
        <v>365</v>
      </c>
      <c r="Y105" s="93">
        <v>10</v>
      </c>
      <c r="Z105" s="107">
        <f t="shared" ref="Z105:Z108" si="3">SUM(AA105:AC105)</f>
        <v>167.244</v>
      </c>
      <c r="AA105" s="80"/>
      <c r="AB105" s="80"/>
      <c r="AC105" s="80">
        <f>126.7*1.32</f>
        <v>167.244</v>
      </c>
      <c r="AD105" s="105">
        <v>6</v>
      </c>
      <c r="AE105" s="88"/>
      <c r="AF105" s="119"/>
      <c r="AG105" s="77" t="s">
        <v>814</v>
      </c>
    </row>
    <row r="106" spans="1:33" ht="21.5" thickTop="1" thickBot="1" x14ac:dyDescent="0.85">
      <c r="A106" t="s">
        <v>995</v>
      </c>
      <c r="B106" s="81" t="s">
        <v>996</v>
      </c>
      <c r="C106" s="79" t="s">
        <v>801</v>
      </c>
      <c r="D106" s="79">
        <v>3</v>
      </c>
      <c r="E106" s="133">
        <v>0</v>
      </c>
      <c r="F106" s="133">
        <v>2.0677279999999999E-2</v>
      </c>
      <c r="G106" s="133">
        <v>2.394686E-2</v>
      </c>
      <c r="H106" s="133">
        <v>6.8419600000000002E-3</v>
      </c>
      <c r="I106" s="133">
        <v>0</v>
      </c>
      <c r="J106" s="133">
        <v>0</v>
      </c>
      <c r="K106" s="134">
        <v>0</v>
      </c>
      <c r="M106" s="135">
        <v>0</v>
      </c>
      <c r="N106" s="133">
        <v>0</v>
      </c>
      <c r="O106" s="133">
        <v>0</v>
      </c>
      <c r="P106" s="133">
        <v>0</v>
      </c>
      <c r="Q106" s="133">
        <v>0</v>
      </c>
      <c r="R106" s="133">
        <v>0</v>
      </c>
      <c r="S106" s="134">
        <v>0</v>
      </c>
      <c r="U106" s="90">
        <v>135</v>
      </c>
      <c r="V106" s="94">
        <v>30</v>
      </c>
      <c r="W106" s="85">
        <v>1</v>
      </c>
      <c r="X106" s="85">
        <v>28</v>
      </c>
      <c r="Y106" s="93">
        <v>10</v>
      </c>
      <c r="Z106" s="107">
        <f t="shared" si="3"/>
        <v>47.84</v>
      </c>
      <c r="AA106" s="80"/>
      <c r="AB106" s="80"/>
      <c r="AC106" s="80">
        <v>47.84</v>
      </c>
      <c r="AD106" s="105">
        <v>5.5</v>
      </c>
      <c r="AE106" s="103"/>
      <c r="AF106" s="119"/>
      <c r="AG106" s="77" t="s">
        <v>814</v>
      </c>
    </row>
    <row r="107" spans="1:33" ht="21.5" thickTop="1" thickBot="1" x14ac:dyDescent="0.85">
      <c r="A107" t="s">
        <v>997</v>
      </c>
      <c r="B107" s="84" t="s">
        <v>998</v>
      </c>
      <c r="C107" s="79" t="s">
        <v>801</v>
      </c>
      <c r="D107" s="79">
        <v>3</v>
      </c>
      <c r="E107" s="133">
        <v>0</v>
      </c>
      <c r="F107" s="133">
        <v>0.20921492999999999</v>
      </c>
      <c r="G107" s="133">
        <v>0.31757681999999998</v>
      </c>
      <c r="H107" s="133">
        <v>0.16775994</v>
      </c>
      <c r="I107" s="133">
        <v>0</v>
      </c>
      <c r="J107" s="133">
        <v>0</v>
      </c>
      <c r="K107" s="134">
        <v>0</v>
      </c>
      <c r="M107" s="135">
        <v>0</v>
      </c>
      <c r="N107" s="133">
        <v>0</v>
      </c>
      <c r="O107" s="133">
        <v>3.9573000000000001E-4</v>
      </c>
      <c r="P107" s="133">
        <v>1.9786199999999999E-3</v>
      </c>
      <c r="Q107" s="133">
        <v>3.1657199999999999E-3</v>
      </c>
      <c r="R107" s="133">
        <v>3.1656700000000002E-3</v>
      </c>
      <c r="S107" s="134">
        <v>3.1656700000000002E-3</v>
      </c>
      <c r="U107" s="90">
        <v>40</v>
      </c>
      <c r="V107" s="95">
        <v>29</v>
      </c>
      <c r="W107" s="85">
        <v>33</v>
      </c>
      <c r="X107" s="85">
        <v>46</v>
      </c>
      <c r="Y107" s="93">
        <v>10</v>
      </c>
      <c r="Z107" s="107">
        <f t="shared" si="3"/>
        <v>161.72999999999999</v>
      </c>
      <c r="AA107" s="109">
        <v>161.72999999999999</v>
      </c>
      <c r="AB107" s="80"/>
      <c r="AC107" s="80"/>
      <c r="AD107" s="105">
        <v>21</v>
      </c>
      <c r="AE107" s="104"/>
      <c r="AF107" s="118"/>
      <c r="AG107" s="78" t="s">
        <v>814</v>
      </c>
    </row>
    <row r="108" spans="1:33" ht="21" thickTop="1" x14ac:dyDescent="0.8">
      <c r="A108" t="s">
        <v>999</v>
      </c>
      <c r="B108" s="81" t="s">
        <v>1000</v>
      </c>
      <c r="C108" s="79" t="s">
        <v>801</v>
      </c>
      <c r="D108" s="79">
        <v>3</v>
      </c>
      <c r="E108" s="133">
        <v>0</v>
      </c>
      <c r="F108" s="133">
        <v>0</v>
      </c>
      <c r="G108" s="133">
        <v>0.24758319000000001</v>
      </c>
      <c r="H108" s="133">
        <v>1.037585</v>
      </c>
      <c r="I108" s="133">
        <v>1.80275093</v>
      </c>
      <c r="J108" s="133">
        <v>1.27155354</v>
      </c>
      <c r="K108" s="134">
        <v>0</v>
      </c>
      <c r="M108" s="135">
        <v>0</v>
      </c>
      <c r="N108" s="133">
        <v>0</v>
      </c>
      <c r="O108" s="133">
        <v>0</v>
      </c>
      <c r="P108" s="133">
        <v>0</v>
      </c>
      <c r="Q108" s="133">
        <v>0</v>
      </c>
      <c r="R108" s="133">
        <v>1.9878000000000001E-3</v>
      </c>
      <c r="S108" s="134">
        <v>3.9756000000000001E-3</v>
      </c>
      <c r="U108" s="90">
        <v>8</v>
      </c>
      <c r="V108" s="94">
        <v>12</v>
      </c>
      <c r="W108" s="85">
        <v>15</v>
      </c>
      <c r="X108" s="85">
        <v>92</v>
      </c>
      <c r="Y108" s="93">
        <v>10</v>
      </c>
      <c r="Z108" s="107">
        <f t="shared" si="3"/>
        <v>1600</v>
      </c>
      <c r="AA108" s="109">
        <v>960.4</v>
      </c>
      <c r="AB108" s="80"/>
      <c r="AC108" s="109">
        <f>1600-AA108</f>
        <v>639.6</v>
      </c>
      <c r="AD108" s="105">
        <v>3.5</v>
      </c>
      <c r="AE108" s="88" t="s">
        <v>802</v>
      </c>
      <c r="AF108" s="114"/>
      <c r="AG108" s="77" t="s">
        <v>814</v>
      </c>
    </row>
    <row r="114" spans="27:28" ht="83.65" customHeight="1" x14ac:dyDescent="0.25">
      <c r="AA114" s="131"/>
      <c r="AB114" s="131"/>
    </row>
    <row r="115" spans="27:28" x14ac:dyDescent="0.25">
      <c r="AA115" s="130"/>
      <c r="AB115" s="130"/>
    </row>
  </sheetData>
  <autoFilter ref="A8:AG108" xr:uid="{EA321930-2CEC-438E-8594-AB079C2DBB5F}">
    <filterColumn colId="19" showButton="0"/>
    <sortState xmlns:xlrd2="http://schemas.microsoft.com/office/spreadsheetml/2017/richdata2" ref="A9:AG108">
      <sortCondition ref="B8:B108"/>
    </sortState>
  </autoFilter>
  <mergeCells count="17">
    <mergeCell ref="B1:AE1"/>
    <mergeCell ref="B2:AE2"/>
    <mergeCell ref="B3:AE3"/>
    <mergeCell ref="A4:B4"/>
    <mergeCell ref="C4:D4"/>
    <mergeCell ref="L4:M4"/>
    <mergeCell ref="T4:U4"/>
    <mergeCell ref="T7:U7"/>
    <mergeCell ref="T8:U8"/>
    <mergeCell ref="B5:B6"/>
    <mergeCell ref="C5:C6"/>
    <mergeCell ref="D5:D6"/>
    <mergeCell ref="E5:K5"/>
    <mergeCell ref="M5:S5"/>
    <mergeCell ref="A7:B7"/>
    <mergeCell ref="C7:E7"/>
    <mergeCell ref="L7:M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2299-0D58-49B9-B0BE-3824FF91EFC6}">
  <sheetPr>
    <tabColor rgb="FFB97BB4"/>
  </sheetPr>
  <dimension ref="A1:AF75"/>
  <sheetViews>
    <sheetView topLeftCell="A5" workbookViewId="0">
      <selection activeCell="B20" sqref="B20"/>
    </sheetView>
  </sheetViews>
  <sheetFormatPr defaultRowHeight="12.5" x14ac:dyDescent="0.25"/>
  <cols>
    <col min="2" max="2" width="42.81640625" bestFit="1" customWidth="1"/>
    <col min="4" max="20" width="0" hidden="1" customWidth="1"/>
    <col min="21" max="25" width="16.453125" customWidth="1"/>
    <col min="26" max="29" width="16.453125" hidden="1" customWidth="1"/>
  </cols>
  <sheetData>
    <row r="1" spans="1:32" s="76" customFormat="1" ht="19" x14ac:dyDescent="0.4">
      <c r="B1" s="210" t="s">
        <v>366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row>
    <row r="2" spans="1:32" s="76" customFormat="1" ht="19" x14ac:dyDescent="0.4">
      <c r="B2" s="210" t="s">
        <v>760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row>
    <row r="3" spans="1:32" ht="19" x14ac:dyDescent="0.25">
      <c r="A3" s="57"/>
      <c r="B3" s="211" t="s">
        <v>1001</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row>
    <row r="4" spans="1:32" ht="14" x14ac:dyDescent="0.3">
      <c r="A4" s="207"/>
      <c r="B4" s="207"/>
      <c r="C4" s="212"/>
      <c r="D4" s="212"/>
      <c r="E4" s="58"/>
      <c r="F4" s="58"/>
      <c r="G4" s="58"/>
      <c r="H4" s="58"/>
      <c r="I4" s="58"/>
      <c r="J4" s="58"/>
      <c r="K4" s="58"/>
      <c r="L4" s="207"/>
      <c r="M4" s="207"/>
      <c r="N4" s="58"/>
      <c r="O4" s="58"/>
      <c r="P4" s="58"/>
      <c r="Q4" s="58"/>
      <c r="R4" s="58"/>
      <c r="S4" s="58"/>
      <c r="T4" s="207"/>
      <c r="U4" s="207"/>
      <c r="V4" s="58"/>
      <c r="W4" s="58"/>
      <c r="X4" s="58"/>
      <c r="Y4" s="58"/>
      <c r="Z4" s="58"/>
      <c r="AA4" s="58"/>
      <c r="AB4" s="58"/>
      <c r="AC4" s="58"/>
      <c r="AD4" s="58"/>
      <c r="AE4" s="58"/>
    </row>
    <row r="5" spans="1:32" ht="46.5" x14ac:dyDescent="0.35">
      <c r="A5" s="58"/>
      <c r="B5" s="199" t="s">
        <v>762</v>
      </c>
      <c r="C5" s="201" t="s">
        <v>763</v>
      </c>
      <c r="D5" s="201" t="s">
        <v>764</v>
      </c>
      <c r="E5" s="203" t="s">
        <v>765</v>
      </c>
      <c r="F5" s="204"/>
      <c r="G5" s="204"/>
      <c r="H5" s="204"/>
      <c r="I5" s="204"/>
      <c r="J5" s="204"/>
      <c r="K5" s="205"/>
      <c r="L5" s="60"/>
      <c r="M5" s="206" t="s">
        <v>766</v>
      </c>
      <c r="N5" s="204"/>
      <c r="O5" s="204"/>
      <c r="P5" s="204"/>
      <c r="Q5" s="204"/>
      <c r="R5" s="204"/>
      <c r="S5" s="205"/>
      <c r="T5" s="61"/>
      <c r="U5" s="62" t="s">
        <v>767</v>
      </c>
      <c r="V5" s="63" t="s">
        <v>768</v>
      </c>
      <c r="W5" s="63" t="s">
        <v>769</v>
      </c>
      <c r="X5" s="63" t="s">
        <v>1002</v>
      </c>
      <c r="Y5" s="63" t="s">
        <v>770</v>
      </c>
      <c r="Z5" s="63" t="s">
        <v>771</v>
      </c>
      <c r="AA5" s="59" t="s">
        <v>772</v>
      </c>
      <c r="AB5" s="59" t="s">
        <v>773</v>
      </c>
      <c r="AC5" s="59" t="s">
        <v>774</v>
      </c>
      <c r="AD5" s="59" t="s">
        <v>775</v>
      </c>
      <c r="AE5" s="59" t="s">
        <v>776</v>
      </c>
      <c r="AF5" s="59" t="s">
        <v>777</v>
      </c>
    </row>
    <row r="6" spans="1:32" ht="108.5" x14ac:dyDescent="0.35">
      <c r="A6" s="58"/>
      <c r="B6" s="200"/>
      <c r="C6" s="202"/>
      <c r="D6" s="202"/>
      <c r="E6" s="65" t="s">
        <v>779</v>
      </c>
      <c r="F6" s="65" t="s">
        <v>780</v>
      </c>
      <c r="G6" s="65" t="s">
        <v>781</v>
      </c>
      <c r="H6" s="65" t="s">
        <v>782</v>
      </c>
      <c r="I6" s="65" t="s">
        <v>783</v>
      </c>
      <c r="J6" s="65" t="s">
        <v>784</v>
      </c>
      <c r="K6" s="66" t="s">
        <v>785</v>
      </c>
      <c r="L6" s="67"/>
      <c r="M6" s="68" t="s">
        <v>779</v>
      </c>
      <c r="N6" s="65" t="s">
        <v>780</v>
      </c>
      <c r="O6" s="65" t="s">
        <v>781</v>
      </c>
      <c r="P6" s="65" t="s">
        <v>782</v>
      </c>
      <c r="Q6" s="65" t="s">
        <v>783</v>
      </c>
      <c r="R6" s="65" t="s">
        <v>784</v>
      </c>
      <c r="S6" s="66" t="s">
        <v>785</v>
      </c>
      <c r="T6" s="61"/>
      <c r="U6" s="68" t="s">
        <v>786</v>
      </c>
      <c r="V6" s="69" t="s">
        <v>787</v>
      </c>
      <c r="W6" s="69" t="s">
        <v>788</v>
      </c>
      <c r="X6" s="69" t="s">
        <v>789</v>
      </c>
      <c r="Y6" s="69" t="s">
        <v>790</v>
      </c>
      <c r="Z6" s="69" t="s">
        <v>791</v>
      </c>
      <c r="AA6" s="69" t="s">
        <v>792</v>
      </c>
      <c r="AB6" s="69" t="s">
        <v>793</v>
      </c>
      <c r="AC6" s="69" t="s">
        <v>794</v>
      </c>
      <c r="AD6" s="69" t="s">
        <v>795</v>
      </c>
      <c r="AE6" s="69" t="s">
        <v>796</v>
      </c>
      <c r="AF6" s="69" t="s">
        <v>797</v>
      </c>
    </row>
    <row r="7" spans="1:32" ht="15.5" x14ac:dyDescent="0.35">
      <c r="A7" s="207"/>
      <c r="B7" s="207"/>
      <c r="C7" s="208"/>
      <c r="D7" s="208"/>
      <c r="E7" s="208"/>
      <c r="F7" s="70"/>
      <c r="G7" s="70"/>
      <c r="H7" s="70"/>
      <c r="I7" s="70"/>
      <c r="J7" s="70"/>
      <c r="K7" s="71"/>
      <c r="L7" s="209"/>
      <c r="M7" s="209"/>
      <c r="N7" s="61"/>
      <c r="O7" s="61"/>
      <c r="P7" s="61"/>
      <c r="Q7" s="61"/>
      <c r="R7" s="61"/>
      <c r="S7" s="61"/>
      <c r="T7" s="198"/>
      <c r="U7" s="198"/>
      <c r="V7" s="61"/>
      <c r="W7" s="61"/>
      <c r="X7" s="61"/>
      <c r="Y7" s="61"/>
      <c r="Z7" s="61"/>
      <c r="AA7" s="61"/>
      <c r="AB7" s="61"/>
      <c r="AC7" s="61"/>
      <c r="AD7" s="61"/>
      <c r="AE7" s="58"/>
    </row>
    <row r="8" spans="1:32" ht="15.5" x14ac:dyDescent="0.35">
      <c r="A8" s="207"/>
      <c r="B8" s="207"/>
      <c r="C8" s="72"/>
      <c r="D8" s="72"/>
      <c r="E8" s="73"/>
      <c r="F8" s="73"/>
      <c r="G8" s="73"/>
      <c r="H8" s="73"/>
      <c r="I8" s="73"/>
      <c r="J8" s="73"/>
      <c r="K8" s="73"/>
      <c r="L8" s="73"/>
      <c r="M8" s="61"/>
      <c r="N8" s="61"/>
      <c r="O8" s="61"/>
      <c r="P8" s="61"/>
      <c r="Q8" s="61"/>
      <c r="R8" s="61"/>
      <c r="S8" s="61"/>
      <c r="T8" s="198"/>
      <c r="U8" s="198"/>
      <c r="V8" s="61"/>
      <c r="W8" s="61"/>
      <c r="X8" s="61"/>
      <c r="Y8" s="61"/>
      <c r="Z8" s="61"/>
      <c r="AA8" s="61"/>
      <c r="AB8" s="61"/>
      <c r="AC8" s="61"/>
      <c r="AD8" s="61"/>
      <c r="AE8" s="58"/>
    </row>
    <row r="9" spans="1:32" ht="20.5" x14ac:dyDescent="0.8">
      <c r="A9" s="58"/>
      <c r="B9" s="153" t="s">
        <v>1003</v>
      </c>
      <c r="C9" s="146" t="s">
        <v>801</v>
      </c>
      <c r="D9" s="146">
        <v>3</v>
      </c>
      <c r="E9" s="147">
        <v>0</v>
      </c>
      <c r="F9" s="147">
        <v>0.23525744000000001</v>
      </c>
      <c r="G9" s="147">
        <v>0.57032114</v>
      </c>
      <c r="H9" s="147">
        <v>4.9903099999999999E-2</v>
      </c>
      <c r="I9" s="147">
        <v>0</v>
      </c>
      <c r="J9" s="147">
        <v>0</v>
      </c>
      <c r="K9" s="148">
        <v>0</v>
      </c>
      <c r="M9" s="149">
        <v>0</v>
      </c>
      <c r="N9" s="147">
        <v>0</v>
      </c>
      <c r="O9" s="147">
        <v>4.98542E-3</v>
      </c>
      <c r="P9" s="147">
        <v>1.0423950000000001E-2</v>
      </c>
      <c r="Q9" s="147">
        <v>1.0877120000000001E-2</v>
      </c>
      <c r="R9" s="147">
        <v>1.0877120000000001E-2</v>
      </c>
      <c r="S9" s="148">
        <v>1.0877120000000001E-2</v>
      </c>
      <c r="U9" s="90">
        <v>68</v>
      </c>
      <c r="V9" s="94">
        <v>55</v>
      </c>
      <c r="W9" s="85">
        <v>7</v>
      </c>
      <c r="X9" s="85">
        <v>39</v>
      </c>
      <c r="Y9" s="93">
        <v>10</v>
      </c>
      <c r="Z9" s="107">
        <f t="shared" ref="Z9:Z67" si="0">SUM(AA9:AC9)</f>
        <v>287</v>
      </c>
      <c r="AA9" s="142"/>
      <c r="AB9" s="142">
        <v>287</v>
      </c>
      <c r="AC9" s="143"/>
      <c r="AD9" s="105">
        <v>21</v>
      </c>
      <c r="AE9" s="98" t="s">
        <v>802</v>
      </c>
      <c r="AF9" s="113"/>
    </row>
    <row r="10" spans="1:32" ht="20.5" x14ac:dyDescent="0.8">
      <c r="A10" s="58"/>
      <c r="B10" s="81" t="s">
        <v>1004</v>
      </c>
      <c r="C10" s="79" t="s">
        <v>801</v>
      </c>
      <c r="D10" s="79">
        <v>3</v>
      </c>
      <c r="E10" s="133">
        <v>0.29882303999999998</v>
      </c>
      <c r="F10" s="133">
        <v>0.40266276000000001</v>
      </c>
      <c r="G10" s="133">
        <v>0.40266276000000001</v>
      </c>
      <c r="H10" s="133">
        <v>0</v>
      </c>
      <c r="I10" s="133">
        <v>0</v>
      </c>
      <c r="J10" s="133">
        <v>0</v>
      </c>
      <c r="K10" s="134">
        <v>0</v>
      </c>
      <c r="L10" s="73"/>
      <c r="M10" s="135">
        <v>0</v>
      </c>
      <c r="N10" s="133">
        <v>0</v>
      </c>
      <c r="O10" s="133">
        <v>0</v>
      </c>
      <c r="P10" s="133">
        <v>1.7153759999999997E-2</v>
      </c>
      <c r="Q10" s="133">
        <v>1.7153639999999998E-2</v>
      </c>
      <c r="R10" s="133">
        <v>1.7153639999999998E-2</v>
      </c>
      <c r="S10" s="134">
        <v>1.7153639999999998E-2</v>
      </c>
      <c r="T10" s="61"/>
      <c r="U10" s="159"/>
      <c r="V10" s="94">
        <v>111</v>
      </c>
      <c r="W10" s="85">
        <v>54</v>
      </c>
      <c r="X10" s="91">
        <v>136</v>
      </c>
      <c r="Y10" s="93">
        <v>10</v>
      </c>
      <c r="Z10" s="107">
        <f t="shared" si="0"/>
        <v>1235.52</v>
      </c>
      <c r="AA10" s="80">
        <v>1235.52</v>
      </c>
      <c r="AB10" s="138"/>
      <c r="AC10" s="138"/>
      <c r="AD10" s="105">
        <v>72.5</v>
      </c>
      <c r="AE10" s="98" t="s">
        <v>802</v>
      </c>
      <c r="AF10" s="112"/>
    </row>
    <row r="11" spans="1:32" ht="20.5" x14ac:dyDescent="0.8">
      <c r="A11" s="58"/>
      <c r="B11" s="81" t="s">
        <v>1005</v>
      </c>
      <c r="C11" s="79" t="s">
        <v>801</v>
      </c>
      <c r="D11" s="79">
        <v>3</v>
      </c>
      <c r="E11" s="133">
        <v>0</v>
      </c>
      <c r="F11" s="133">
        <v>0.12742972999999999</v>
      </c>
      <c r="G11" s="133">
        <v>0.19523595999999999</v>
      </c>
      <c r="H11" s="133">
        <v>0.11080861</v>
      </c>
      <c r="I11" s="133">
        <v>0</v>
      </c>
      <c r="J11" s="133">
        <v>0</v>
      </c>
      <c r="K11" s="134">
        <v>0</v>
      </c>
      <c r="L11" s="73"/>
      <c r="M11" s="135">
        <v>0</v>
      </c>
      <c r="N11" s="133">
        <v>0</v>
      </c>
      <c r="O11" s="133">
        <v>7.1536000000000006E-4</v>
      </c>
      <c r="P11" s="133">
        <v>5.0075200000000005E-3</v>
      </c>
      <c r="Q11" s="133">
        <v>8.5843199999999995E-3</v>
      </c>
      <c r="R11" s="133">
        <v>8.584389999999999E-3</v>
      </c>
      <c r="S11" s="134">
        <v>8.584389999999999E-3</v>
      </c>
      <c r="T11" s="61"/>
      <c r="U11" s="159">
        <v>16</v>
      </c>
      <c r="V11" s="94">
        <v>26</v>
      </c>
      <c r="W11" s="85">
        <v>23</v>
      </c>
      <c r="X11" s="85">
        <v>365</v>
      </c>
      <c r="Y11" s="93">
        <v>10</v>
      </c>
      <c r="Z11" s="107">
        <f t="shared" si="0"/>
        <v>2412.35</v>
      </c>
      <c r="AA11" s="138">
        <v>2412.35</v>
      </c>
      <c r="AB11" s="138"/>
      <c r="AC11" s="138"/>
      <c r="AD11" s="105">
        <v>14.5</v>
      </c>
      <c r="AE11" s="98" t="s">
        <v>802</v>
      </c>
      <c r="AF11" s="112"/>
    </row>
    <row r="12" spans="1:32" ht="20.5" x14ac:dyDescent="0.8">
      <c r="A12" s="58"/>
      <c r="B12" s="81" t="s">
        <v>1006</v>
      </c>
      <c r="C12" s="79" t="s">
        <v>801</v>
      </c>
      <c r="D12" s="79">
        <v>3</v>
      </c>
      <c r="E12" s="133">
        <v>0</v>
      </c>
      <c r="F12" s="133">
        <v>0.13800642000000002</v>
      </c>
      <c r="G12" s="133">
        <v>0.22740597000000001</v>
      </c>
      <c r="H12" s="133">
        <v>0.14628727</v>
      </c>
      <c r="I12" s="133">
        <v>0</v>
      </c>
      <c r="J12" s="133">
        <v>0</v>
      </c>
      <c r="K12" s="134">
        <v>0</v>
      </c>
      <c r="L12" s="73"/>
      <c r="M12" s="135">
        <v>0</v>
      </c>
      <c r="N12" s="133">
        <v>0</v>
      </c>
      <c r="O12" s="133">
        <v>3.7485000000000003E-4</v>
      </c>
      <c r="P12" s="133">
        <v>4.8730500000000003E-3</v>
      </c>
      <c r="Q12" s="133">
        <v>8.9964099999999998E-3</v>
      </c>
      <c r="R12" s="133">
        <v>8.9965200000000009E-3</v>
      </c>
      <c r="S12" s="134">
        <v>8.9965200000000009E-3</v>
      </c>
      <c r="T12" s="61"/>
      <c r="U12" s="159"/>
      <c r="V12" s="94">
        <v>21</v>
      </c>
      <c r="W12" s="85">
        <v>15</v>
      </c>
      <c r="X12" s="85">
        <v>365</v>
      </c>
      <c r="Y12" s="93">
        <v>10</v>
      </c>
      <c r="Z12" s="107">
        <f t="shared" si="0"/>
        <v>211.2</v>
      </c>
      <c r="AA12" s="138"/>
      <c r="AB12" s="120">
        <v>211.2</v>
      </c>
      <c r="AC12" s="138"/>
      <c r="AD12" s="105">
        <v>8</v>
      </c>
      <c r="AE12" s="98" t="s">
        <v>802</v>
      </c>
      <c r="AF12" s="112"/>
    </row>
    <row r="13" spans="1:32" ht="20.5" x14ac:dyDescent="0.8">
      <c r="A13" s="58"/>
      <c r="B13" s="81" t="s">
        <v>1007</v>
      </c>
      <c r="C13" s="79" t="s">
        <v>801</v>
      </c>
      <c r="D13" s="79">
        <v>3</v>
      </c>
      <c r="E13" s="133">
        <v>0</v>
      </c>
      <c r="F13" s="133">
        <v>6.3499890000000003E-2</v>
      </c>
      <c r="G13" s="133">
        <v>7.3540839999999996E-2</v>
      </c>
      <c r="H13" s="133">
        <v>2.1011660000000001E-2</v>
      </c>
      <c r="I13" s="133">
        <v>0</v>
      </c>
      <c r="J13" s="133">
        <v>0</v>
      </c>
      <c r="K13" s="134">
        <v>0</v>
      </c>
      <c r="M13" s="135">
        <v>0</v>
      </c>
      <c r="N13" s="133">
        <v>0</v>
      </c>
      <c r="O13" s="133">
        <v>2.2539999999999998E-5</v>
      </c>
      <c r="P13" s="133">
        <v>6.1249999999999998E-5</v>
      </c>
      <c r="Q13" s="133">
        <v>7.7400000000000011E-5</v>
      </c>
      <c r="R13" s="133">
        <v>7.7400000000000011E-5</v>
      </c>
      <c r="S13" s="134">
        <v>7.7400000000000011E-5</v>
      </c>
      <c r="U13" s="80"/>
      <c r="V13" s="94"/>
      <c r="W13" s="85"/>
      <c r="X13" s="90"/>
      <c r="Y13" s="93">
        <v>10</v>
      </c>
      <c r="Z13" s="107">
        <f t="shared" si="0"/>
        <v>99.158400000000015</v>
      </c>
      <c r="AA13" s="110"/>
      <c r="AB13" s="80"/>
      <c r="AC13" s="80">
        <f>75.12*1.32</f>
        <v>99.158400000000015</v>
      </c>
      <c r="AD13" s="105"/>
      <c r="AE13" s="98" t="s">
        <v>802</v>
      </c>
      <c r="AF13" s="113"/>
    </row>
    <row r="14" spans="1:32" ht="20.5" x14ac:dyDescent="0.8">
      <c r="A14" s="58"/>
      <c r="B14" s="81" t="s">
        <v>1008</v>
      </c>
      <c r="C14" s="79" t="s">
        <v>801</v>
      </c>
      <c r="D14" s="79">
        <v>3</v>
      </c>
      <c r="E14" s="133">
        <v>0</v>
      </c>
      <c r="F14" s="133">
        <v>0</v>
      </c>
      <c r="G14" s="133">
        <v>0.11096923</v>
      </c>
      <c r="H14" s="133">
        <v>0.53082182999999994</v>
      </c>
      <c r="I14" s="133">
        <v>0.91925509999999999</v>
      </c>
      <c r="J14" s="133">
        <v>0.65033357999999997</v>
      </c>
      <c r="K14" s="134">
        <v>0</v>
      </c>
      <c r="M14" s="135">
        <v>0</v>
      </c>
      <c r="N14" s="133">
        <v>0</v>
      </c>
      <c r="O14" s="133">
        <v>0</v>
      </c>
      <c r="P14" s="133">
        <v>0</v>
      </c>
      <c r="Q14" s="133">
        <v>0</v>
      </c>
      <c r="R14" s="133">
        <v>3.2899919999999999E-2</v>
      </c>
      <c r="S14" s="134">
        <v>6.5799960000000005E-2</v>
      </c>
      <c r="U14" s="80"/>
      <c r="V14" s="94"/>
      <c r="W14" s="85"/>
      <c r="X14" s="90">
        <v>72</v>
      </c>
      <c r="Y14" s="93">
        <v>10</v>
      </c>
      <c r="Z14" s="107">
        <f t="shared" si="0"/>
        <v>121.6116</v>
      </c>
      <c r="AA14" s="110">
        <f>92.13*1.32</f>
        <v>121.6116</v>
      </c>
      <c r="AB14" s="80"/>
      <c r="AC14" s="80"/>
      <c r="AD14" s="105">
        <v>62</v>
      </c>
      <c r="AE14" s="98" t="s">
        <v>802</v>
      </c>
      <c r="AF14" s="114"/>
    </row>
    <row r="15" spans="1:32" ht="20.5" x14ac:dyDescent="0.8">
      <c r="A15" s="58"/>
      <c r="B15" s="81" t="s">
        <v>1009</v>
      </c>
      <c r="C15" s="79" t="s">
        <v>801</v>
      </c>
      <c r="D15" s="79">
        <v>3</v>
      </c>
      <c r="E15" s="133">
        <v>0</v>
      </c>
      <c r="F15" s="133">
        <v>0</v>
      </c>
      <c r="G15" s="133">
        <v>1.3605741899999999</v>
      </c>
      <c r="H15" s="133">
        <v>3.8565167799999998</v>
      </c>
      <c r="I15" s="133">
        <v>7.0198309999999999</v>
      </c>
      <c r="J15" s="133">
        <v>5.1226549000000006</v>
      </c>
      <c r="K15" s="134">
        <v>0</v>
      </c>
      <c r="M15" s="135">
        <v>0</v>
      </c>
      <c r="N15" s="133">
        <v>0</v>
      </c>
      <c r="O15" s="133">
        <v>0</v>
      </c>
      <c r="P15" s="133">
        <v>0</v>
      </c>
      <c r="Q15" s="133">
        <v>0</v>
      </c>
      <c r="R15" s="133">
        <v>0.17488451999999999</v>
      </c>
      <c r="S15" s="134">
        <v>0.34976915999999997</v>
      </c>
      <c r="U15" s="90"/>
      <c r="V15" s="94">
        <v>11</v>
      </c>
      <c r="W15" s="85">
        <v>24</v>
      </c>
      <c r="X15" s="85">
        <v>60</v>
      </c>
      <c r="Y15" s="93">
        <v>10</v>
      </c>
      <c r="Z15" s="107">
        <f t="shared" si="0"/>
        <v>24180</v>
      </c>
      <c r="AA15" s="110">
        <f>4*2418</f>
        <v>9672</v>
      </c>
      <c r="AB15" s="80"/>
      <c r="AC15" s="115">
        <f>24180-AA15</f>
        <v>14508</v>
      </c>
      <c r="AD15" s="105">
        <v>7.5</v>
      </c>
      <c r="AE15" s="98" t="s">
        <v>802</v>
      </c>
      <c r="AF15" s="114"/>
    </row>
    <row r="16" spans="1:32" ht="20.5" x14ac:dyDescent="0.8">
      <c r="B16" s="81" t="s">
        <v>1010</v>
      </c>
      <c r="C16" s="79" t="s">
        <v>801</v>
      </c>
      <c r="D16" s="79">
        <v>3</v>
      </c>
      <c r="E16" s="133">
        <v>0</v>
      </c>
      <c r="F16" s="133">
        <v>0.14580799</v>
      </c>
      <c r="G16" s="133">
        <v>0.24026133</v>
      </c>
      <c r="H16" s="133">
        <v>0.15455696999999999</v>
      </c>
      <c r="I16" s="133">
        <v>0</v>
      </c>
      <c r="J16" s="133">
        <v>0</v>
      </c>
      <c r="K16" s="134">
        <v>0</v>
      </c>
      <c r="M16" s="135">
        <v>0</v>
      </c>
      <c r="N16" s="133">
        <v>0</v>
      </c>
      <c r="O16" s="133">
        <v>3.7218E-4</v>
      </c>
      <c r="P16" s="133">
        <v>4.83834E-3</v>
      </c>
      <c r="Q16" s="133">
        <v>8.9323200000000005E-3</v>
      </c>
      <c r="R16" s="133">
        <v>8.9323200000000005E-3</v>
      </c>
      <c r="S16" s="134">
        <v>8.9323200000000005E-3</v>
      </c>
      <c r="U16" s="90">
        <v>115</v>
      </c>
      <c r="V16" s="94">
        <v>105</v>
      </c>
      <c r="W16" s="85">
        <v>7</v>
      </c>
      <c r="X16" s="85">
        <v>322</v>
      </c>
      <c r="Y16" s="93">
        <v>10</v>
      </c>
      <c r="Z16" s="107">
        <f t="shared" si="0"/>
        <v>163.61000000000001</v>
      </c>
      <c r="AA16" s="120"/>
      <c r="AB16" s="120">
        <v>163.61000000000001</v>
      </c>
      <c r="AC16" s="80"/>
      <c r="AD16" s="105">
        <v>46</v>
      </c>
      <c r="AE16" s="98" t="s">
        <v>802</v>
      </c>
      <c r="AF16" s="113"/>
    </row>
    <row r="17" spans="2:32" ht="20.5" x14ac:dyDescent="0.8">
      <c r="B17" s="81" t="s">
        <v>1011</v>
      </c>
      <c r="C17" s="79" t="s">
        <v>801</v>
      </c>
      <c r="D17" s="79">
        <v>3</v>
      </c>
      <c r="E17" s="133">
        <v>0</v>
      </c>
      <c r="F17" s="133">
        <v>8.9043990000000003E-2</v>
      </c>
      <c r="G17" s="133">
        <v>8.5690189999999999E-2</v>
      </c>
      <c r="H17" s="133">
        <v>1.483164E-2</v>
      </c>
      <c r="I17" s="133">
        <v>0</v>
      </c>
      <c r="J17" s="133">
        <v>0</v>
      </c>
      <c r="K17" s="134">
        <v>0</v>
      </c>
      <c r="M17" s="135">
        <v>0</v>
      </c>
      <c r="N17" s="133">
        <v>0</v>
      </c>
      <c r="O17" s="133">
        <v>2.898E-5</v>
      </c>
      <c r="P17" s="133">
        <v>6.7709999999999987E-5</v>
      </c>
      <c r="Q17" s="133">
        <v>7.7400000000000011E-5</v>
      </c>
      <c r="R17" s="133">
        <v>7.7400000000000011E-5</v>
      </c>
      <c r="S17" s="134">
        <v>7.7400000000000011E-5</v>
      </c>
      <c r="U17" s="90">
        <v>81</v>
      </c>
      <c r="V17" s="94">
        <v>67</v>
      </c>
      <c r="W17" s="85">
        <v>37</v>
      </c>
      <c r="X17" s="85">
        <v>38</v>
      </c>
      <c r="Y17" s="93">
        <v>10</v>
      </c>
      <c r="Z17" s="107">
        <f t="shared" si="0"/>
        <v>142.45440000000002</v>
      </c>
      <c r="AA17" s="110"/>
      <c r="AB17" s="80"/>
      <c r="AC17" s="80">
        <f>107.92*1.32</f>
        <v>142.45440000000002</v>
      </c>
      <c r="AD17" s="105">
        <v>42</v>
      </c>
      <c r="AE17" s="98" t="s">
        <v>802</v>
      </c>
      <c r="AF17" s="113"/>
    </row>
    <row r="18" spans="2:32" ht="20.5" x14ac:dyDescent="0.8">
      <c r="B18" s="81" t="s">
        <v>1012</v>
      </c>
      <c r="C18" s="79" t="s">
        <v>801</v>
      </c>
      <c r="D18" s="79">
        <v>3</v>
      </c>
      <c r="E18" s="133">
        <v>0</v>
      </c>
      <c r="F18" s="133">
        <v>0.13635106</v>
      </c>
      <c r="G18" s="133">
        <v>0.2246783</v>
      </c>
      <c r="H18" s="133">
        <v>0.14453257</v>
      </c>
      <c r="I18" s="133">
        <v>0</v>
      </c>
      <c r="J18" s="133">
        <v>0</v>
      </c>
      <c r="K18" s="134">
        <v>0</v>
      </c>
      <c r="M18" s="135">
        <v>0</v>
      </c>
      <c r="N18" s="133">
        <v>0</v>
      </c>
      <c r="O18" s="133">
        <v>3.6900000000000002E-4</v>
      </c>
      <c r="P18" s="133">
        <v>4.797E-3</v>
      </c>
      <c r="Q18" s="133">
        <v>8.856010000000001E-3</v>
      </c>
      <c r="R18" s="133">
        <v>8.8561200000000003E-3</v>
      </c>
      <c r="S18" s="134">
        <v>8.8561200000000003E-3</v>
      </c>
      <c r="U18" s="90">
        <v>10</v>
      </c>
      <c r="V18" s="94">
        <v>29</v>
      </c>
      <c r="W18" s="85">
        <v>6</v>
      </c>
      <c r="X18" s="85">
        <v>61</v>
      </c>
      <c r="Y18" s="93">
        <v>10</v>
      </c>
      <c r="Z18" s="107">
        <f t="shared" si="0"/>
        <v>175.17</v>
      </c>
      <c r="AA18" s="110"/>
      <c r="AB18" s="110">
        <v>175.17</v>
      </c>
      <c r="AC18" s="80"/>
      <c r="AD18" s="105">
        <v>7.5</v>
      </c>
      <c r="AE18" s="98" t="s">
        <v>802</v>
      </c>
      <c r="AF18" s="105"/>
    </row>
    <row r="19" spans="2:32" ht="20.5" x14ac:dyDescent="0.8">
      <c r="B19" s="81" t="s">
        <v>1013</v>
      </c>
      <c r="C19" s="79" t="s">
        <v>801</v>
      </c>
      <c r="D19" s="79">
        <v>3</v>
      </c>
      <c r="E19" s="133">
        <v>0</v>
      </c>
      <c r="F19" s="133">
        <v>0</v>
      </c>
      <c r="G19" s="133">
        <v>1.7478585900000001</v>
      </c>
      <c r="H19" s="133">
        <v>6.0106115599999992</v>
      </c>
      <c r="I19" s="133">
        <v>10.77103297</v>
      </c>
      <c r="J19" s="133">
        <v>7.8119168700000001</v>
      </c>
      <c r="K19" s="134">
        <v>0</v>
      </c>
      <c r="M19" s="135">
        <v>0</v>
      </c>
      <c r="N19" s="133">
        <v>0</v>
      </c>
      <c r="O19" s="133">
        <v>0</v>
      </c>
      <c r="P19" s="133">
        <v>0</v>
      </c>
      <c r="Q19" s="133">
        <v>0</v>
      </c>
      <c r="R19" s="133">
        <v>0.21051048</v>
      </c>
      <c r="S19" s="134">
        <v>0.42102096</v>
      </c>
      <c r="U19" s="90">
        <v>61</v>
      </c>
      <c r="V19" s="94">
        <v>127</v>
      </c>
      <c r="W19" s="85">
        <v>71</v>
      </c>
      <c r="X19" s="85">
        <v>126</v>
      </c>
      <c r="Y19" s="93">
        <v>10</v>
      </c>
      <c r="Z19" s="107">
        <f t="shared" si="0"/>
        <v>22521</v>
      </c>
      <c r="AA19" s="80">
        <f>9*1098</f>
        <v>9882</v>
      </c>
      <c r="AB19" s="80"/>
      <c r="AC19" s="80">
        <f>22521-AA19</f>
        <v>12639</v>
      </c>
      <c r="AD19" s="105">
        <v>97</v>
      </c>
      <c r="AE19" s="98" t="s">
        <v>802</v>
      </c>
      <c r="AF19" s="113">
        <v>2</v>
      </c>
    </row>
    <row r="20" spans="2:32" ht="20.5" x14ac:dyDescent="0.8">
      <c r="B20" s="81" t="s">
        <v>1014</v>
      </c>
      <c r="C20" s="79" t="s">
        <v>801</v>
      </c>
      <c r="D20" s="79">
        <v>3</v>
      </c>
      <c r="E20" s="133">
        <v>0</v>
      </c>
      <c r="F20" s="133">
        <v>0.55358244999999995</v>
      </c>
      <c r="G20" s="133">
        <v>1.5600556399999999</v>
      </c>
      <c r="H20" s="133">
        <v>2.5645506400000002</v>
      </c>
      <c r="I20" s="133">
        <v>1.5817902699999999</v>
      </c>
      <c r="J20" s="133">
        <v>0</v>
      </c>
      <c r="K20" s="134">
        <v>0</v>
      </c>
      <c r="M20" s="135">
        <v>0</v>
      </c>
      <c r="N20" s="133">
        <v>0</v>
      </c>
      <c r="O20" s="133">
        <v>0</v>
      </c>
      <c r="P20" s="133">
        <v>5.2273400000000005E-3</v>
      </c>
      <c r="Q20" s="133">
        <v>6.7955429999999997E-2</v>
      </c>
      <c r="R20" s="133">
        <v>0.12545629</v>
      </c>
      <c r="S20" s="134">
        <v>0.1254564</v>
      </c>
      <c r="U20" s="90">
        <v>81</v>
      </c>
      <c r="V20" s="94">
        <v>28</v>
      </c>
      <c r="W20" s="85">
        <v>6</v>
      </c>
      <c r="X20" s="90">
        <v>30</v>
      </c>
      <c r="Y20" s="93">
        <v>10</v>
      </c>
      <c r="Z20" s="107">
        <f t="shared" si="0"/>
        <v>11200</v>
      </c>
      <c r="AA20" s="110">
        <f>8*1400</f>
        <v>11200</v>
      </c>
      <c r="AB20" s="80"/>
      <c r="AC20" s="80"/>
      <c r="AD20" s="105">
        <v>20</v>
      </c>
      <c r="AE20" s="98"/>
      <c r="AF20" s="115"/>
    </row>
    <row r="21" spans="2:32" ht="20.5" x14ac:dyDescent="0.8">
      <c r="B21" s="81" t="s">
        <v>1015</v>
      </c>
      <c r="C21" s="79" t="s">
        <v>801</v>
      </c>
      <c r="D21" s="79">
        <v>3</v>
      </c>
      <c r="E21" s="133">
        <v>0</v>
      </c>
      <c r="F21" s="133">
        <v>0.13735304999999998</v>
      </c>
      <c r="G21" s="133">
        <v>0.22632935999999998</v>
      </c>
      <c r="H21" s="133">
        <v>0.14559467000000001</v>
      </c>
      <c r="I21" s="133">
        <v>0</v>
      </c>
      <c r="J21" s="133">
        <v>0</v>
      </c>
      <c r="K21" s="134">
        <v>0</v>
      </c>
      <c r="M21" s="135">
        <v>0</v>
      </c>
      <c r="N21" s="133">
        <v>0</v>
      </c>
      <c r="O21" s="133">
        <v>3.7254000000000003E-4</v>
      </c>
      <c r="P21" s="133">
        <v>4.8430200000000008E-3</v>
      </c>
      <c r="Q21" s="133">
        <v>8.9409699999999995E-3</v>
      </c>
      <c r="R21" s="133">
        <v>8.9410800000000006E-3</v>
      </c>
      <c r="S21" s="134">
        <v>8.9410800000000006E-3</v>
      </c>
      <c r="U21" s="90">
        <v>28</v>
      </c>
      <c r="V21" s="94">
        <v>25</v>
      </c>
      <c r="W21" s="85">
        <v>23</v>
      </c>
      <c r="X21" s="85">
        <v>70</v>
      </c>
      <c r="Y21" s="93">
        <v>10</v>
      </c>
      <c r="Z21" s="107">
        <f t="shared" si="0"/>
        <v>205.17</v>
      </c>
      <c r="AA21" s="80"/>
      <c r="AB21" s="120">
        <v>205.17</v>
      </c>
      <c r="AC21" s="80"/>
      <c r="AD21" s="105">
        <v>14</v>
      </c>
      <c r="AE21" s="98" t="s">
        <v>802</v>
      </c>
      <c r="AF21" s="114"/>
    </row>
    <row r="22" spans="2:32" ht="20.5" x14ac:dyDescent="0.8">
      <c r="B22" s="81" t="s">
        <v>1016</v>
      </c>
      <c r="C22" s="79" t="s">
        <v>801</v>
      </c>
      <c r="D22" s="79">
        <v>3</v>
      </c>
      <c r="E22" s="133">
        <v>0</v>
      </c>
      <c r="F22" s="133">
        <v>0.29984238000000002</v>
      </c>
      <c r="G22" s="133">
        <v>0.34725487999999999</v>
      </c>
      <c r="H22" s="133">
        <v>9.9215589999999992E-2</v>
      </c>
      <c r="I22" s="133">
        <v>0</v>
      </c>
      <c r="J22" s="133">
        <v>0</v>
      </c>
      <c r="K22" s="134">
        <v>0</v>
      </c>
      <c r="M22" s="135">
        <v>0</v>
      </c>
      <c r="N22" s="133">
        <v>0</v>
      </c>
      <c r="O22" s="133">
        <v>2.2539999999999998E-5</v>
      </c>
      <c r="P22" s="133">
        <v>6.1249999999999998E-5</v>
      </c>
      <c r="Q22" s="133">
        <v>7.7400000000000011E-5</v>
      </c>
      <c r="R22" s="133">
        <v>7.7400000000000011E-5</v>
      </c>
      <c r="S22" s="134">
        <v>7.7400000000000011E-5</v>
      </c>
      <c r="U22" s="80"/>
      <c r="V22" s="94"/>
      <c r="W22" s="85"/>
      <c r="X22" s="90">
        <v>185</v>
      </c>
      <c r="Y22" s="93">
        <v>10</v>
      </c>
      <c r="Z22" s="107">
        <f t="shared" si="0"/>
        <v>139.45800000000003</v>
      </c>
      <c r="AA22" s="80"/>
      <c r="AB22" s="80"/>
      <c r="AC22" s="80">
        <f>105.65*1.32</f>
        <v>139.45800000000003</v>
      </c>
      <c r="AD22" s="105">
        <v>175</v>
      </c>
      <c r="AE22" s="98" t="s">
        <v>802</v>
      </c>
      <c r="AF22" s="114"/>
    </row>
    <row r="23" spans="2:32" ht="20.5" x14ac:dyDescent="0.8">
      <c r="B23" s="81" t="s">
        <v>1017</v>
      </c>
      <c r="C23" s="79" t="s">
        <v>801</v>
      </c>
      <c r="D23" s="79">
        <v>3</v>
      </c>
      <c r="E23" s="133">
        <v>0</v>
      </c>
      <c r="F23" s="133">
        <v>0</v>
      </c>
      <c r="G23" s="133">
        <v>0</v>
      </c>
      <c r="H23" s="133">
        <v>0.12834656999999999</v>
      </c>
      <c r="I23" s="133">
        <v>0.23871914999999999</v>
      </c>
      <c r="J23" s="133">
        <v>0.17373253</v>
      </c>
      <c r="K23" s="134">
        <v>0</v>
      </c>
      <c r="M23" s="135">
        <v>0</v>
      </c>
      <c r="N23" s="133">
        <v>0</v>
      </c>
      <c r="O23" s="133">
        <v>0</v>
      </c>
      <c r="P23" s="133">
        <v>0</v>
      </c>
      <c r="Q23" s="133">
        <v>0</v>
      </c>
      <c r="R23" s="133">
        <v>4.8273599999999993E-3</v>
      </c>
      <c r="S23" s="134">
        <v>9.6548399999999996E-3</v>
      </c>
      <c r="U23" s="90">
        <v>88</v>
      </c>
      <c r="V23" s="94">
        <v>12</v>
      </c>
      <c r="W23" s="85">
        <v>16</v>
      </c>
      <c r="X23" s="85">
        <v>33</v>
      </c>
      <c r="Y23" s="93">
        <v>10</v>
      </c>
      <c r="Z23" s="107">
        <f t="shared" si="0"/>
        <v>271.95999999999998</v>
      </c>
      <c r="AA23" s="80"/>
      <c r="AB23" s="120">
        <v>271.95999999999998</v>
      </c>
      <c r="AC23" s="80"/>
      <c r="AD23" s="105">
        <v>4</v>
      </c>
      <c r="AE23" s="98" t="s">
        <v>802</v>
      </c>
      <c r="AF23" s="114"/>
    </row>
    <row r="24" spans="2:32" ht="20.5" x14ac:dyDescent="0.8">
      <c r="B24" s="81" t="s">
        <v>1018</v>
      </c>
      <c r="C24" s="79" t="s">
        <v>801</v>
      </c>
      <c r="D24" s="79">
        <v>3</v>
      </c>
      <c r="E24" s="133">
        <v>0</v>
      </c>
      <c r="F24" s="133">
        <v>0.18459357999999998</v>
      </c>
      <c r="G24" s="133">
        <v>0.26398164000000002</v>
      </c>
      <c r="H24" s="133">
        <v>0.13245217000000001</v>
      </c>
      <c r="I24" s="133">
        <v>0</v>
      </c>
      <c r="J24" s="133">
        <v>0</v>
      </c>
      <c r="K24" s="134">
        <v>0</v>
      </c>
      <c r="M24" s="135">
        <v>0</v>
      </c>
      <c r="N24" s="133">
        <v>0</v>
      </c>
      <c r="O24" s="133">
        <v>9.6600000000000007E-6</v>
      </c>
      <c r="P24" s="133">
        <v>4.833E-5</v>
      </c>
      <c r="Q24" s="133">
        <v>7.7400000000000011E-5</v>
      </c>
      <c r="R24" s="133">
        <v>7.7400000000000011E-5</v>
      </c>
      <c r="S24" s="134">
        <v>7.7400000000000011E-5</v>
      </c>
      <c r="U24" s="90">
        <v>39</v>
      </c>
      <c r="V24" s="94">
        <v>79</v>
      </c>
      <c r="W24" s="85">
        <v>1</v>
      </c>
      <c r="X24" s="85">
        <v>106</v>
      </c>
      <c r="Y24" s="93">
        <v>10</v>
      </c>
      <c r="Z24" s="107">
        <f t="shared" si="0"/>
        <v>89</v>
      </c>
      <c r="AA24" s="80"/>
      <c r="AB24" s="80"/>
      <c r="AC24" s="80">
        <v>89</v>
      </c>
      <c r="AD24" s="105">
        <v>30</v>
      </c>
      <c r="AE24" s="98" t="s">
        <v>802</v>
      </c>
      <c r="AF24" s="114"/>
    </row>
    <row r="25" spans="2:32" ht="20.5" x14ac:dyDescent="0.8">
      <c r="B25" s="81" t="s">
        <v>1019</v>
      </c>
      <c r="C25" s="79" t="s">
        <v>801</v>
      </c>
      <c r="D25" s="79">
        <v>3</v>
      </c>
      <c r="E25" s="133">
        <v>0</v>
      </c>
      <c r="F25" s="133">
        <v>0.26473546000000003</v>
      </c>
      <c r="G25" s="133">
        <v>0.61605755000000006</v>
      </c>
      <c r="H25" s="133">
        <v>0.64025890000000008</v>
      </c>
      <c r="I25" s="133">
        <v>0.16053429999999999</v>
      </c>
      <c r="J25" s="133">
        <v>0</v>
      </c>
      <c r="K25" s="134">
        <v>0</v>
      </c>
      <c r="M25" s="135">
        <v>0</v>
      </c>
      <c r="N25" s="133">
        <v>0</v>
      </c>
      <c r="O25" s="133">
        <v>0</v>
      </c>
      <c r="P25" s="133">
        <v>7.3732399999999997E-3</v>
      </c>
      <c r="Q25" s="133">
        <v>2.001315E-2</v>
      </c>
      <c r="R25" s="133">
        <v>2.5279819999999998E-2</v>
      </c>
      <c r="S25" s="134">
        <v>2.5279799999999998E-2</v>
      </c>
      <c r="U25" s="90">
        <v>16</v>
      </c>
      <c r="V25" s="94">
        <v>0</v>
      </c>
      <c r="W25" s="85">
        <v>7</v>
      </c>
      <c r="X25" s="90">
        <v>105</v>
      </c>
      <c r="Y25" s="93">
        <v>10</v>
      </c>
      <c r="Z25" s="107">
        <f t="shared" si="0"/>
        <v>1737.7</v>
      </c>
      <c r="AA25" s="80">
        <v>1737.7</v>
      </c>
      <c r="AB25" s="80"/>
      <c r="AC25" s="80"/>
      <c r="AD25" s="105">
        <v>0</v>
      </c>
      <c r="AE25" s="98" t="s">
        <v>802</v>
      </c>
      <c r="AF25" s="114"/>
    </row>
    <row r="26" spans="2:32" ht="20.5" x14ac:dyDescent="0.8">
      <c r="B26" s="81" t="s">
        <v>1020</v>
      </c>
      <c r="C26" s="79" t="s">
        <v>801</v>
      </c>
      <c r="D26" s="79">
        <v>3</v>
      </c>
      <c r="E26" s="133">
        <v>0</v>
      </c>
      <c r="F26" s="133">
        <v>0</v>
      </c>
      <c r="G26" s="133">
        <v>1.59874838</v>
      </c>
      <c r="H26" s="133">
        <v>4.5316161699999995</v>
      </c>
      <c r="I26" s="133">
        <v>8.2486817200000004</v>
      </c>
      <c r="J26" s="133">
        <v>6.0193970400000003</v>
      </c>
      <c r="K26" s="134">
        <v>0</v>
      </c>
      <c r="M26" s="135">
        <v>0</v>
      </c>
      <c r="N26" s="133">
        <v>0</v>
      </c>
      <c r="O26" s="133">
        <v>0</v>
      </c>
      <c r="P26" s="133">
        <v>0</v>
      </c>
      <c r="Q26" s="133">
        <v>0</v>
      </c>
      <c r="R26" s="133">
        <v>0.13254923999999998</v>
      </c>
      <c r="S26" s="134">
        <v>0.26509847999999997</v>
      </c>
      <c r="U26" s="90"/>
      <c r="V26" s="94">
        <v>94</v>
      </c>
      <c r="W26" s="85">
        <v>34</v>
      </c>
      <c r="X26" s="90">
        <v>125</v>
      </c>
      <c r="Y26" s="93">
        <v>10</v>
      </c>
      <c r="Z26" s="107">
        <f t="shared" si="0"/>
        <v>59535</v>
      </c>
      <c r="AA26" s="80">
        <v>59535</v>
      </c>
      <c r="AB26" s="80"/>
      <c r="AC26" s="80"/>
      <c r="AD26" s="105">
        <v>54</v>
      </c>
      <c r="AE26" s="98"/>
      <c r="AF26" s="114"/>
    </row>
    <row r="27" spans="2:32" ht="20.5" x14ac:dyDescent="0.8">
      <c r="B27" s="81" t="s">
        <v>1021</v>
      </c>
      <c r="C27" s="79" t="s">
        <v>801</v>
      </c>
      <c r="D27" s="79">
        <v>3</v>
      </c>
      <c r="E27" s="133">
        <v>0</v>
      </c>
      <c r="F27" s="133">
        <v>0.11660008999999999</v>
      </c>
      <c r="G27" s="133">
        <v>0.17864376999999998</v>
      </c>
      <c r="H27" s="133">
        <v>0.10139149</v>
      </c>
      <c r="I27" s="133">
        <v>0</v>
      </c>
      <c r="J27" s="133">
        <v>0</v>
      </c>
      <c r="K27" s="134">
        <v>0</v>
      </c>
      <c r="M27" s="135">
        <v>0</v>
      </c>
      <c r="N27" s="133">
        <v>0</v>
      </c>
      <c r="O27" s="133">
        <v>4.5259999999999997E-5</v>
      </c>
      <c r="P27" s="133">
        <v>3.1682999999999999E-4</v>
      </c>
      <c r="Q27" s="133">
        <v>5.4323999999999996E-4</v>
      </c>
      <c r="R27" s="133">
        <v>5.4323999999999996E-4</v>
      </c>
      <c r="S27" s="134">
        <v>5.4323999999999996E-4</v>
      </c>
      <c r="U27" s="90"/>
      <c r="V27" s="94">
        <v>50</v>
      </c>
      <c r="W27" s="85">
        <v>65</v>
      </c>
      <c r="X27" s="85">
        <v>58</v>
      </c>
      <c r="Y27" s="93">
        <v>10</v>
      </c>
      <c r="Z27" s="107">
        <f t="shared" si="0"/>
        <v>60.720000000000006</v>
      </c>
      <c r="AA27" s="110">
        <f>46*1.32</f>
        <v>60.720000000000006</v>
      </c>
      <c r="AB27" s="80"/>
      <c r="AC27" s="80"/>
      <c r="AD27" s="105">
        <v>47.5</v>
      </c>
      <c r="AE27" s="98"/>
      <c r="AF27" s="113"/>
    </row>
    <row r="28" spans="2:32" ht="20.5" x14ac:dyDescent="0.8">
      <c r="B28" s="81" t="s">
        <v>1022</v>
      </c>
      <c r="C28" s="79" t="s">
        <v>801</v>
      </c>
      <c r="D28" s="79">
        <v>3</v>
      </c>
      <c r="E28" s="133">
        <v>0</v>
      </c>
      <c r="F28" s="133">
        <v>0</v>
      </c>
      <c r="G28" s="133">
        <v>0.14676404999999998</v>
      </c>
      <c r="H28" s="133">
        <v>0.61502188999999996</v>
      </c>
      <c r="I28" s="133">
        <v>1.06934605</v>
      </c>
      <c r="J28" s="133">
        <v>0.75492773000000002</v>
      </c>
      <c r="K28" s="134">
        <v>0</v>
      </c>
      <c r="M28" s="135">
        <v>0</v>
      </c>
      <c r="N28" s="133">
        <v>0</v>
      </c>
      <c r="O28" s="133">
        <v>0</v>
      </c>
      <c r="P28" s="133">
        <v>0</v>
      </c>
      <c r="Q28" s="133">
        <v>0</v>
      </c>
      <c r="R28" s="133">
        <v>1.733784E-2</v>
      </c>
      <c r="S28" s="134">
        <v>3.46758E-2</v>
      </c>
      <c r="U28" s="90">
        <v>41</v>
      </c>
      <c r="V28" s="94">
        <v>43</v>
      </c>
      <c r="W28" s="85">
        <v>31</v>
      </c>
      <c r="X28" s="91">
        <v>60</v>
      </c>
      <c r="Y28" s="93">
        <v>10</v>
      </c>
      <c r="Z28" s="107">
        <f t="shared" si="0"/>
        <v>4186</v>
      </c>
      <c r="AA28" s="80">
        <f>2093*2</f>
        <v>4186</v>
      </c>
      <c r="AB28" s="127"/>
      <c r="AC28" s="80"/>
      <c r="AD28" s="105">
        <v>27</v>
      </c>
      <c r="AE28" s="98" t="s">
        <v>802</v>
      </c>
      <c r="AF28" s="114"/>
    </row>
    <row r="29" spans="2:32" ht="20.5" x14ac:dyDescent="0.8">
      <c r="B29" s="81" t="s">
        <v>1023</v>
      </c>
      <c r="C29" s="79" t="s">
        <v>801</v>
      </c>
      <c r="D29" s="79">
        <v>3</v>
      </c>
      <c r="E29" s="133">
        <v>0</v>
      </c>
      <c r="F29" s="133">
        <v>0.29755353000000001</v>
      </c>
      <c r="G29" s="133">
        <v>0.5560503</v>
      </c>
      <c r="H29" s="133">
        <v>0.42848037999999999</v>
      </c>
      <c r="I29" s="133">
        <v>2.2591770000000001E-2</v>
      </c>
      <c r="J29" s="133">
        <v>0</v>
      </c>
      <c r="K29" s="134">
        <v>0</v>
      </c>
      <c r="M29" s="135">
        <v>0</v>
      </c>
      <c r="N29" s="133">
        <v>0</v>
      </c>
      <c r="O29" s="133">
        <v>0</v>
      </c>
      <c r="P29" s="133">
        <v>3.5420000000000003E-5</v>
      </c>
      <c r="Q29" s="133">
        <v>7.4170000000000003E-5</v>
      </c>
      <c r="R29" s="133">
        <v>7.7400000000000011E-5</v>
      </c>
      <c r="S29" s="134">
        <v>7.7400000000000011E-5</v>
      </c>
      <c r="U29" s="90"/>
      <c r="V29" s="94">
        <v>10</v>
      </c>
      <c r="W29" s="85">
        <v>8</v>
      </c>
      <c r="X29" s="85">
        <v>87</v>
      </c>
      <c r="Y29" s="93">
        <v>10</v>
      </c>
      <c r="Z29" s="107">
        <f t="shared" si="0"/>
        <v>234</v>
      </c>
      <c r="AA29" s="126"/>
      <c r="AB29" s="80"/>
      <c r="AC29" s="80">
        <v>234</v>
      </c>
      <c r="AD29" s="105">
        <v>0</v>
      </c>
      <c r="AE29" s="98" t="s">
        <v>802</v>
      </c>
      <c r="AF29" s="114"/>
    </row>
    <row r="30" spans="2:32" ht="20.5" x14ac:dyDescent="0.8">
      <c r="B30" s="81" t="s">
        <v>1024</v>
      </c>
      <c r="C30" s="79" t="s">
        <v>801</v>
      </c>
      <c r="D30" s="79">
        <v>3</v>
      </c>
      <c r="E30" s="133">
        <v>0</v>
      </c>
      <c r="F30" s="133">
        <v>0.22160580999999999</v>
      </c>
      <c r="G30" s="133">
        <v>0.49123880999999997</v>
      </c>
      <c r="H30" s="133">
        <v>0.47234496999999998</v>
      </c>
      <c r="I30" s="133">
        <v>9.505841000000001E-2</v>
      </c>
      <c r="J30" s="133">
        <v>0</v>
      </c>
      <c r="K30" s="134">
        <v>0</v>
      </c>
      <c r="M30" s="135">
        <v>0</v>
      </c>
      <c r="N30" s="133">
        <v>0</v>
      </c>
      <c r="O30" s="133">
        <v>0</v>
      </c>
      <c r="P30" s="133">
        <v>7.6503999999999993E-4</v>
      </c>
      <c r="Q30" s="133">
        <v>1.91256E-3</v>
      </c>
      <c r="R30" s="133">
        <v>2.2950000000000002E-3</v>
      </c>
      <c r="S30" s="134">
        <v>2.2950000000000002E-3</v>
      </c>
      <c r="U30" s="90">
        <v>306</v>
      </c>
      <c r="V30" s="94">
        <v>166</v>
      </c>
      <c r="W30" s="85">
        <v>115</v>
      </c>
      <c r="X30" s="85">
        <v>161</v>
      </c>
      <c r="Y30" s="93">
        <v>10</v>
      </c>
      <c r="Z30" s="107">
        <f t="shared" si="0"/>
        <v>453.567972</v>
      </c>
      <c r="AA30" s="80"/>
      <c r="AB30" s="110">
        <f>343.6121*1.32</f>
        <v>453.567972</v>
      </c>
      <c r="AC30" s="80"/>
      <c r="AD30" s="105">
        <v>130.5</v>
      </c>
      <c r="AE30" s="98" t="s">
        <v>802</v>
      </c>
      <c r="AF30" s="114"/>
    </row>
    <row r="31" spans="2:32" ht="20.5" x14ac:dyDescent="0.8">
      <c r="B31" s="81" t="s">
        <v>1025</v>
      </c>
      <c r="C31" s="79" t="s">
        <v>801</v>
      </c>
      <c r="D31" s="79">
        <v>3</v>
      </c>
      <c r="E31" s="133">
        <v>0</v>
      </c>
      <c r="F31" s="133">
        <v>3.5348910000000004E-2</v>
      </c>
      <c r="G31" s="133">
        <v>4.0938429999999998E-2</v>
      </c>
      <c r="H31" s="133">
        <v>1.1696659999999999E-2</v>
      </c>
      <c r="I31" s="133">
        <v>0</v>
      </c>
      <c r="J31" s="133">
        <v>0</v>
      </c>
      <c r="K31" s="134">
        <v>0</v>
      </c>
      <c r="M31" s="135">
        <v>0</v>
      </c>
      <c r="N31" s="133">
        <v>0</v>
      </c>
      <c r="O31" s="133">
        <v>2.2539999999999998E-5</v>
      </c>
      <c r="P31" s="133">
        <v>6.1249999999999998E-5</v>
      </c>
      <c r="Q31" s="133">
        <v>7.7400000000000011E-5</v>
      </c>
      <c r="R31" s="133">
        <v>7.7400000000000011E-5</v>
      </c>
      <c r="S31" s="134">
        <v>7.7400000000000011E-5</v>
      </c>
      <c r="U31" s="90"/>
      <c r="V31" s="94">
        <v>89</v>
      </c>
      <c r="W31" s="85">
        <v>49</v>
      </c>
      <c r="X31" s="85">
        <v>32</v>
      </c>
      <c r="Y31" s="93">
        <v>10</v>
      </c>
      <c r="Z31" s="107">
        <f t="shared" si="0"/>
        <v>20.46</v>
      </c>
      <c r="AA31" s="80"/>
      <c r="AB31" s="80"/>
      <c r="AC31" s="80">
        <f>15.5*1.32</f>
        <v>20.46</v>
      </c>
      <c r="AD31" s="105">
        <v>59</v>
      </c>
      <c r="AE31" s="98" t="s">
        <v>802</v>
      </c>
      <c r="AF31" s="113"/>
    </row>
    <row r="32" spans="2:32" ht="20.5" x14ac:dyDescent="0.8">
      <c r="B32" s="81" t="s">
        <v>1026</v>
      </c>
      <c r="C32" s="79" t="s">
        <v>801</v>
      </c>
      <c r="D32" s="79">
        <v>3</v>
      </c>
      <c r="E32" s="133">
        <v>0</v>
      </c>
      <c r="F32" s="133">
        <v>0</v>
      </c>
      <c r="G32" s="133">
        <v>1.3047209999999998E-2</v>
      </c>
      <c r="H32" s="133">
        <v>0.23224781999999999</v>
      </c>
      <c r="I32" s="133">
        <v>0.39506296000000002</v>
      </c>
      <c r="J32" s="133">
        <v>0.2835995</v>
      </c>
      <c r="K32" s="134">
        <v>0</v>
      </c>
      <c r="M32" s="135">
        <v>0</v>
      </c>
      <c r="N32" s="133">
        <v>0</v>
      </c>
      <c r="O32" s="133">
        <v>0</v>
      </c>
      <c r="P32" s="133">
        <v>0</v>
      </c>
      <c r="Q32" s="133">
        <v>0</v>
      </c>
      <c r="R32" s="133">
        <v>7.3663699999999997E-3</v>
      </c>
      <c r="S32" s="134">
        <v>1.4732739999999999E-2</v>
      </c>
      <c r="U32" s="90">
        <v>136</v>
      </c>
      <c r="V32" s="94">
        <v>97</v>
      </c>
      <c r="W32" s="85">
        <v>92</v>
      </c>
      <c r="X32" s="85">
        <v>23</v>
      </c>
      <c r="Y32" s="93">
        <v>10</v>
      </c>
      <c r="Z32" s="107">
        <f t="shared" si="0"/>
        <v>662</v>
      </c>
      <c r="AA32" s="80">
        <v>662</v>
      </c>
      <c r="AB32" s="80"/>
      <c r="AC32" s="80"/>
      <c r="AD32" s="105">
        <v>84.5</v>
      </c>
      <c r="AE32" s="98" t="s">
        <v>802</v>
      </c>
      <c r="AF32" s="114"/>
    </row>
    <row r="33" spans="2:32" ht="20.5" x14ac:dyDescent="0.8">
      <c r="B33" s="81" t="s">
        <v>1027</v>
      </c>
      <c r="C33" s="79" t="s">
        <v>801</v>
      </c>
      <c r="D33" s="79">
        <v>3</v>
      </c>
      <c r="E33" s="133">
        <v>0</v>
      </c>
      <c r="F33" s="133">
        <v>0</v>
      </c>
      <c r="G33" s="133">
        <v>0</v>
      </c>
      <c r="H33" s="133">
        <v>0.1474877</v>
      </c>
      <c r="I33" s="133">
        <v>0.25921265999999998</v>
      </c>
      <c r="J33" s="133">
        <v>0.18745477999999999</v>
      </c>
      <c r="K33" s="134">
        <v>0</v>
      </c>
      <c r="M33" s="135">
        <v>0</v>
      </c>
      <c r="N33" s="133">
        <v>0</v>
      </c>
      <c r="O33" s="133">
        <v>0</v>
      </c>
      <c r="P33" s="133">
        <v>0</v>
      </c>
      <c r="Q33" s="133">
        <v>0</v>
      </c>
      <c r="R33" s="133">
        <v>5.0749200000000001E-3</v>
      </c>
      <c r="S33" s="134">
        <v>1.014984E-2</v>
      </c>
      <c r="U33" s="80"/>
      <c r="V33" s="94"/>
      <c r="W33" s="85"/>
      <c r="X33" s="90">
        <v>25</v>
      </c>
      <c r="Y33" s="93">
        <v>10</v>
      </c>
      <c r="Z33" s="107">
        <f t="shared" si="0"/>
        <v>284</v>
      </c>
      <c r="AA33" s="80"/>
      <c r="AB33" s="122">
        <v>284</v>
      </c>
      <c r="AC33" s="80"/>
      <c r="AD33" s="105">
        <v>15</v>
      </c>
      <c r="AE33" s="98" t="s">
        <v>802</v>
      </c>
      <c r="AF33" s="114"/>
    </row>
    <row r="34" spans="2:32" ht="20.5" x14ac:dyDescent="0.8">
      <c r="B34" s="81" t="s">
        <v>1028</v>
      </c>
      <c r="C34" s="79" t="s">
        <v>801</v>
      </c>
      <c r="D34" s="79">
        <v>3</v>
      </c>
      <c r="E34" s="133">
        <v>4.7914890000000002E-2</v>
      </c>
      <c r="F34" s="133">
        <v>0.82565699999999997</v>
      </c>
      <c r="G34" s="133">
        <v>0.82565699999999997</v>
      </c>
      <c r="H34" s="133">
        <v>0</v>
      </c>
      <c r="I34" s="133">
        <v>0</v>
      </c>
      <c r="J34" s="133">
        <v>0</v>
      </c>
      <c r="K34" s="134">
        <v>0</v>
      </c>
      <c r="M34" s="135">
        <v>0</v>
      </c>
      <c r="N34" s="133">
        <v>0</v>
      </c>
      <c r="O34" s="133">
        <v>0</v>
      </c>
      <c r="P34" s="133">
        <v>3.3456960000000001E-2</v>
      </c>
      <c r="Q34" s="133">
        <v>3.3456960000000001E-2</v>
      </c>
      <c r="R34" s="133">
        <v>3.3456960000000001E-2</v>
      </c>
      <c r="S34" s="134">
        <v>3.3456960000000001E-2</v>
      </c>
      <c r="U34" s="90">
        <v>89</v>
      </c>
      <c r="V34" s="94">
        <v>80</v>
      </c>
      <c r="W34" s="85">
        <v>53</v>
      </c>
      <c r="X34" s="85">
        <v>36</v>
      </c>
      <c r="Y34" s="93">
        <v>10</v>
      </c>
      <c r="Z34" s="107">
        <f t="shared" si="0"/>
        <v>2441.4299999999998</v>
      </c>
      <c r="AA34" s="126">
        <v>2441.4299999999998</v>
      </c>
      <c r="AB34" s="80"/>
      <c r="AC34" s="80"/>
      <c r="AD34" s="105">
        <v>56.5</v>
      </c>
      <c r="AE34" s="98" t="s">
        <v>802</v>
      </c>
      <c r="AF34" s="114"/>
    </row>
    <row r="35" spans="2:32" ht="20.5" x14ac:dyDescent="0.8">
      <c r="B35" s="81" t="s">
        <v>1029</v>
      </c>
      <c r="C35" s="79" t="s">
        <v>801</v>
      </c>
      <c r="D35" s="79">
        <v>3</v>
      </c>
      <c r="E35" s="133">
        <v>0.12101136</v>
      </c>
      <c r="F35" s="133">
        <v>1.4043093600000001</v>
      </c>
      <c r="G35" s="133">
        <v>1.4043093600000001</v>
      </c>
      <c r="H35" s="133">
        <v>0</v>
      </c>
      <c r="I35" s="133">
        <v>0</v>
      </c>
      <c r="J35" s="133">
        <v>0</v>
      </c>
      <c r="K35" s="134">
        <v>0</v>
      </c>
      <c r="M35" s="135">
        <v>0</v>
      </c>
      <c r="N35" s="133">
        <v>0</v>
      </c>
      <c r="O35" s="133">
        <v>0</v>
      </c>
      <c r="P35" s="133">
        <v>5.5873800000000001E-2</v>
      </c>
      <c r="Q35" s="133">
        <v>5.5873800000000001E-2</v>
      </c>
      <c r="R35" s="133">
        <v>5.5873800000000001E-2</v>
      </c>
      <c r="S35" s="134">
        <v>5.5873800000000001E-2</v>
      </c>
      <c r="U35" s="90">
        <v>88</v>
      </c>
      <c r="V35" s="94">
        <v>100</v>
      </c>
      <c r="W35" s="85">
        <v>50</v>
      </c>
      <c r="X35" s="85">
        <v>124</v>
      </c>
      <c r="Y35" s="93">
        <v>10</v>
      </c>
      <c r="Z35" s="107">
        <f t="shared" si="0"/>
        <v>4409.72</v>
      </c>
      <c r="AA35" s="80"/>
      <c r="AB35" s="110">
        <f>1102.43*4</f>
        <v>4409.72</v>
      </c>
      <c r="AC35" s="80"/>
      <c r="AD35" s="105">
        <v>73</v>
      </c>
      <c r="AE35" s="98" t="s">
        <v>802</v>
      </c>
      <c r="AF35" s="113">
        <v>2</v>
      </c>
    </row>
    <row r="36" spans="2:32" ht="20.5" x14ac:dyDescent="0.8">
      <c r="B36" s="81" t="s">
        <v>1030</v>
      </c>
      <c r="C36" s="79" t="s">
        <v>801</v>
      </c>
      <c r="D36" s="79">
        <v>3</v>
      </c>
      <c r="E36" s="133">
        <v>0</v>
      </c>
      <c r="F36" s="133">
        <v>0.14887966</v>
      </c>
      <c r="G36" s="133">
        <v>0.26165907999999999</v>
      </c>
      <c r="H36" s="133">
        <v>0.18922398000000001</v>
      </c>
      <c r="I36" s="133">
        <v>0</v>
      </c>
      <c r="J36" s="133">
        <v>0</v>
      </c>
      <c r="K36" s="134">
        <v>0</v>
      </c>
      <c r="M36" s="135">
        <v>0</v>
      </c>
      <c r="N36" s="133">
        <v>0</v>
      </c>
      <c r="O36" s="133">
        <v>0</v>
      </c>
      <c r="P36" s="133">
        <v>5.1388800000000002E-3</v>
      </c>
      <c r="Q36" s="133">
        <v>1.027788E-2</v>
      </c>
      <c r="R36" s="133">
        <v>1.0278049999999999E-2</v>
      </c>
      <c r="S36" s="134">
        <v>1.0278049999999999E-2</v>
      </c>
      <c r="U36" s="90">
        <v>45</v>
      </c>
      <c r="V36" s="94">
        <v>115</v>
      </c>
      <c r="W36" s="85">
        <v>60</v>
      </c>
      <c r="X36" s="85">
        <v>16</v>
      </c>
      <c r="Y36" s="93">
        <v>10</v>
      </c>
      <c r="Z36" s="107">
        <f t="shared" si="0"/>
        <v>369.6</v>
      </c>
      <c r="AA36" s="80"/>
      <c r="AB36" s="120">
        <v>369.6</v>
      </c>
      <c r="AC36" s="80"/>
      <c r="AD36" s="105">
        <v>77.5</v>
      </c>
      <c r="AE36" s="98" t="s">
        <v>802</v>
      </c>
      <c r="AF36" s="113"/>
    </row>
    <row r="37" spans="2:32" ht="20.5" x14ac:dyDescent="0.8">
      <c r="B37" s="81" t="s">
        <v>1031</v>
      </c>
      <c r="C37" s="79" t="s">
        <v>801</v>
      </c>
      <c r="D37" s="79">
        <v>3</v>
      </c>
      <c r="E37" s="133">
        <v>0</v>
      </c>
      <c r="F37" s="133">
        <v>0</v>
      </c>
      <c r="G37" s="133">
        <v>0</v>
      </c>
      <c r="H37" s="133">
        <v>0</v>
      </c>
      <c r="I37" s="133">
        <v>0</v>
      </c>
      <c r="J37" s="133">
        <v>0</v>
      </c>
      <c r="K37" s="134">
        <v>0</v>
      </c>
      <c r="M37" s="135">
        <v>0</v>
      </c>
      <c r="N37" s="133">
        <v>0</v>
      </c>
      <c r="O37" s="133">
        <v>0</v>
      </c>
      <c r="P37" s="133">
        <v>0</v>
      </c>
      <c r="Q37" s="133">
        <v>0</v>
      </c>
      <c r="R37" s="133">
        <v>0</v>
      </c>
      <c r="S37" s="134">
        <v>0</v>
      </c>
      <c r="U37" s="90">
        <v>54</v>
      </c>
      <c r="V37" s="94">
        <v>50</v>
      </c>
      <c r="W37" s="85">
        <v>11</v>
      </c>
      <c r="X37" s="85">
        <v>365</v>
      </c>
      <c r="Y37" s="93">
        <v>10</v>
      </c>
      <c r="Z37" s="107">
        <f t="shared" si="0"/>
        <v>642</v>
      </c>
      <c r="AA37" s="80">
        <v>642</v>
      </c>
      <c r="AB37" s="127"/>
      <c r="AC37" s="80"/>
      <c r="AD37" s="105">
        <v>20.5</v>
      </c>
      <c r="AE37" s="98" t="s">
        <v>802</v>
      </c>
      <c r="AF37" s="114"/>
    </row>
    <row r="38" spans="2:32" ht="20.5" x14ac:dyDescent="0.8">
      <c r="B38" s="81" t="s">
        <v>1032</v>
      </c>
      <c r="C38" s="79" t="s">
        <v>801</v>
      </c>
      <c r="D38" s="79">
        <v>3</v>
      </c>
      <c r="E38" s="133">
        <v>0</v>
      </c>
      <c r="F38" s="133">
        <v>0</v>
      </c>
      <c r="G38" s="133">
        <v>1.2923860000000001E-2</v>
      </c>
      <c r="H38" s="133">
        <v>0.23005214000000002</v>
      </c>
      <c r="I38" s="133">
        <v>0.39132805999999998</v>
      </c>
      <c r="J38" s="133">
        <v>0.28091836999999997</v>
      </c>
      <c r="K38" s="134">
        <v>0</v>
      </c>
      <c r="M38" s="135">
        <v>0</v>
      </c>
      <c r="N38" s="133">
        <v>0</v>
      </c>
      <c r="O38" s="133">
        <v>0</v>
      </c>
      <c r="P38" s="133">
        <v>0</v>
      </c>
      <c r="Q38" s="133">
        <v>0</v>
      </c>
      <c r="R38" s="133">
        <v>8.5598400000000009E-3</v>
      </c>
      <c r="S38" s="134">
        <v>1.7119680000000002E-2</v>
      </c>
      <c r="U38" s="90">
        <v>32</v>
      </c>
      <c r="V38" s="94">
        <v>38</v>
      </c>
      <c r="W38" s="85">
        <v>51</v>
      </c>
      <c r="X38" s="90">
        <v>18</v>
      </c>
      <c r="Y38" s="93">
        <v>10</v>
      </c>
      <c r="Z38" s="107">
        <f t="shared" si="0"/>
        <v>1155.54</v>
      </c>
      <c r="AA38" s="80"/>
      <c r="AB38" s="110">
        <v>1155.54</v>
      </c>
      <c r="AC38" s="80"/>
      <c r="AD38" s="105">
        <v>34.5</v>
      </c>
      <c r="AE38" s="98" t="s">
        <v>802</v>
      </c>
      <c r="AF38" s="114"/>
    </row>
    <row r="39" spans="2:32" ht="20.5" x14ac:dyDescent="0.8">
      <c r="B39" s="81" t="s">
        <v>1033</v>
      </c>
      <c r="C39" s="79" t="s">
        <v>801</v>
      </c>
      <c r="D39" s="79">
        <v>3</v>
      </c>
      <c r="E39" s="133">
        <v>0</v>
      </c>
      <c r="F39" s="133">
        <v>0.28223790000000004</v>
      </c>
      <c r="G39" s="133">
        <v>0.65678681000000005</v>
      </c>
      <c r="H39" s="133">
        <v>0.68258823000000002</v>
      </c>
      <c r="I39" s="133">
        <v>0.17114768999999999</v>
      </c>
      <c r="J39" s="133">
        <v>0</v>
      </c>
      <c r="K39" s="134">
        <v>0</v>
      </c>
      <c r="M39" s="135">
        <v>0</v>
      </c>
      <c r="N39" s="133">
        <v>0</v>
      </c>
      <c r="O39" s="133">
        <v>0</v>
      </c>
      <c r="P39" s="133">
        <v>1.030995E-2</v>
      </c>
      <c r="Q39" s="133">
        <v>2.7984080000000001E-2</v>
      </c>
      <c r="R39" s="133">
        <v>3.5348209999999998E-2</v>
      </c>
      <c r="S39" s="134">
        <v>3.5348160000000003E-2</v>
      </c>
      <c r="U39" s="90">
        <v>86</v>
      </c>
      <c r="V39" s="94">
        <v>72</v>
      </c>
      <c r="W39" s="85">
        <v>10</v>
      </c>
      <c r="X39" s="85">
        <v>67</v>
      </c>
      <c r="Y39" s="93">
        <v>10</v>
      </c>
      <c r="Z39" s="107">
        <f t="shared" si="0"/>
        <v>14842.16</v>
      </c>
      <c r="AA39" s="80"/>
      <c r="AB39" s="137">
        <f>12060+(2*1391.08)</f>
        <v>14842.16</v>
      </c>
      <c r="AC39" s="80"/>
      <c r="AD39" s="105">
        <v>31</v>
      </c>
      <c r="AE39" s="98" t="s">
        <v>802</v>
      </c>
      <c r="AF39" s="114"/>
    </row>
    <row r="40" spans="2:32" ht="20.5" x14ac:dyDescent="0.8">
      <c r="B40" s="81" t="s">
        <v>1034</v>
      </c>
      <c r="C40" s="79" t="s">
        <v>801</v>
      </c>
      <c r="D40" s="79">
        <v>3</v>
      </c>
      <c r="E40" s="133">
        <v>0</v>
      </c>
      <c r="F40" s="133">
        <v>0.11180691000000001</v>
      </c>
      <c r="G40" s="133">
        <v>0.12240495</v>
      </c>
      <c r="H40" s="133">
        <v>3.410063E-2</v>
      </c>
      <c r="I40" s="133">
        <v>0</v>
      </c>
      <c r="J40" s="133">
        <v>0</v>
      </c>
      <c r="K40" s="134">
        <v>0</v>
      </c>
      <c r="M40" s="135">
        <v>0</v>
      </c>
      <c r="N40" s="133">
        <v>0</v>
      </c>
      <c r="O40" s="133">
        <v>1.3552E-4</v>
      </c>
      <c r="P40" s="133">
        <v>3.6783999999999997E-4</v>
      </c>
      <c r="Q40" s="133">
        <v>4.6464E-4</v>
      </c>
      <c r="R40" s="133">
        <v>4.6464E-4</v>
      </c>
      <c r="S40" s="134">
        <v>4.6464E-4</v>
      </c>
      <c r="U40" s="90">
        <v>51</v>
      </c>
      <c r="V40" s="94">
        <v>70</v>
      </c>
      <c r="W40" s="85">
        <v>50</v>
      </c>
      <c r="X40" s="90">
        <v>11</v>
      </c>
      <c r="Y40" s="93">
        <v>10</v>
      </c>
      <c r="Z40" s="107">
        <f t="shared" si="0"/>
        <v>70.884</v>
      </c>
      <c r="AA40" s="110">
        <v>70.884</v>
      </c>
      <c r="AB40" s="80"/>
      <c r="AC40" s="80"/>
      <c r="AD40" s="105">
        <v>50</v>
      </c>
      <c r="AE40" s="98" t="s">
        <v>802</v>
      </c>
      <c r="AF40" s="114"/>
    </row>
    <row r="41" spans="2:32" ht="20.5" x14ac:dyDescent="0.8">
      <c r="B41" s="81" t="s">
        <v>1035</v>
      </c>
      <c r="C41" s="79" t="s">
        <v>801</v>
      </c>
      <c r="D41" s="79">
        <v>3</v>
      </c>
      <c r="E41" s="133">
        <v>0</v>
      </c>
      <c r="F41" s="133">
        <v>5.0330239999999998E-2</v>
      </c>
      <c r="G41" s="133">
        <v>5.1304550000000004E-2</v>
      </c>
      <c r="H41" s="133">
        <v>1.158007E-2</v>
      </c>
      <c r="I41" s="133">
        <v>0</v>
      </c>
      <c r="J41" s="133">
        <v>0</v>
      </c>
      <c r="K41" s="134">
        <v>0</v>
      </c>
      <c r="M41" s="135">
        <v>0</v>
      </c>
      <c r="N41" s="133">
        <v>0</v>
      </c>
      <c r="O41" s="133">
        <v>0</v>
      </c>
      <c r="P41" s="133">
        <v>0</v>
      </c>
      <c r="Q41" s="133">
        <v>0</v>
      </c>
      <c r="R41" s="133">
        <v>0</v>
      </c>
      <c r="S41" s="134">
        <v>0</v>
      </c>
      <c r="U41" s="90">
        <v>50</v>
      </c>
      <c r="V41" s="94">
        <v>73</v>
      </c>
      <c r="W41" s="85">
        <v>33</v>
      </c>
      <c r="X41" s="85">
        <v>38</v>
      </c>
      <c r="Y41" s="93">
        <v>10</v>
      </c>
      <c r="Z41" s="107">
        <f t="shared" si="0"/>
        <v>151.39080000000001</v>
      </c>
      <c r="AA41" s="110">
        <f>114.69*1.32</f>
        <v>151.39080000000001</v>
      </c>
      <c r="AB41" s="80"/>
      <c r="AC41" s="80"/>
      <c r="AD41" s="105">
        <v>43</v>
      </c>
      <c r="AE41" s="98" t="s">
        <v>802</v>
      </c>
      <c r="AF41" s="114"/>
    </row>
    <row r="42" spans="2:32" ht="20.5" x14ac:dyDescent="0.8">
      <c r="B42" s="81" t="s">
        <v>1036</v>
      </c>
      <c r="C42" s="79" t="s">
        <v>801</v>
      </c>
      <c r="D42" s="79">
        <v>3</v>
      </c>
      <c r="E42" s="133">
        <v>0</v>
      </c>
      <c r="F42" s="133">
        <v>0</v>
      </c>
      <c r="G42" s="133">
        <v>0</v>
      </c>
      <c r="H42" s="133">
        <v>0.14631574</v>
      </c>
      <c r="I42" s="133">
        <v>0.25715286999999998</v>
      </c>
      <c r="J42" s="133">
        <v>0.18596519</v>
      </c>
      <c r="K42" s="134">
        <v>0</v>
      </c>
      <c r="M42" s="135">
        <v>0</v>
      </c>
      <c r="N42" s="133">
        <v>0</v>
      </c>
      <c r="O42" s="133">
        <v>0</v>
      </c>
      <c r="P42" s="133">
        <v>0</v>
      </c>
      <c r="Q42" s="133">
        <v>0</v>
      </c>
      <c r="R42" s="133">
        <v>4.9806E-3</v>
      </c>
      <c r="S42" s="134">
        <v>9.9610800000000006E-3</v>
      </c>
      <c r="U42" s="90">
        <v>18</v>
      </c>
      <c r="V42" s="94">
        <v>21</v>
      </c>
      <c r="W42" s="87">
        <v>30</v>
      </c>
      <c r="X42" s="85">
        <v>35</v>
      </c>
      <c r="Y42" s="93">
        <v>10</v>
      </c>
      <c r="Z42" s="107">
        <f t="shared" si="0"/>
        <v>142.56</v>
      </c>
      <c r="AA42" s="80">
        <v>142.56</v>
      </c>
      <c r="AB42" s="80"/>
      <c r="AC42" s="80"/>
      <c r="AD42" s="105">
        <v>15.5</v>
      </c>
      <c r="AE42" s="101" t="s">
        <v>802</v>
      </c>
      <c r="AF42" s="115"/>
    </row>
    <row r="43" spans="2:32" ht="20.5" x14ac:dyDescent="0.8">
      <c r="B43" s="81" t="s">
        <v>1037</v>
      </c>
      <c r="C43" s="79" t="s">
        <v>801</v>
      </c>
      <c r="D43" s="79">
        <v>3</v>
      </c>
      <c r="E43" s="133">
        <v>0</v>
      </c>
      <c r="F43" s="133">
        <v>0.13614746999999999</v>
      </c>
      <c r="G43" s="133">
        <v>0.22434289999999998</v>
      </c>
      <c r="H43" s="133">
        <v>0.14431679</v>
      </c>
      <c r="I43" s="133">
        <v>0</v>
      </c>
      <c r="J43" s="133">
        <v>0</v>
      </c>
      <c r="K43" s="134">
        <v>0</v>
      </c>
      <c r="M43" s="135">
        <v>0</v>
      </c>
      <c r="N43" s="133">
        <v>0</v>
      </c>
      <c r="O43" s="133">
        <v>3.6827999999999996E-4</v>
      </c>
      <c r="P43" s="133">
        <v>4.7876500000000001E-3</v>
      </c>
      <c r="Q43" s="133">
        <v>8.8388300000000006E-3</v>
      </c>
      <c r="R43" s="133">
        <v>8.8388400000000006E-3</v>
      </c>
      <c r="S43" s="134">
        <v>8.8388400000000006E-3</v>
      </c>
      <c r="U43" s="80"/>
      <c r="V43" s="94"/>
      <c r="W43" s="85"/>
      <c r="X43" s="90">
        <v>38</v>
      </c>
      <c r="Y43" s="93">
        <v>10</v>
      </c>
      <c r="Z43" s="107">
        <f t="shared" si="0"/>
        <v>170.5</v>
      </c>
      <c r="AA43" s="80"/>
      <c r="AB43" s="120">
        <v>170.5</v>
      </c>
      <c r="AC43" s="80"/>
      <c r="AD43" s="105">
        <v>28</v>
      </c>
      <c r="AE43" s="98" t="s">
        <v>802</v>
      </c>
      <c r="AF43" s="114"/>
    </row>
    <row r="44" spans="2:32" ht="20.5" x14ac:dyDescent="0.8">
      <c r="B44" s="81" t="s">
        <v>1038</v>
      </c>
      <c r="C44" s="79" t="s">
        <v>801</v>
      </c>
      <c r="D44" s="79">
        <v>3</v>
      </c>
      <c r="E44" s="133">
        <v>0</v>
      </c>
      <c r="F44" s="133">
        <v>0.12709318</v>
      </c>
      <c r="G44" s="133">
        <v>0.20650089000000002</v>
      </c>
      <c r="H44" s="133">
        <v>0.12423767999999999</v>
      </c>
      <c r="I44" s="133">
        <v>0</v>
      </c>
      <c r="J44" s="133">
        <v>0</v>
      </c>
      <c r="K44" s="134">
        <v>0</v>
      </c>
      <c r="M44" s="135">
        <v>0</v>
      </c>
      <c r="N44" s="133">
        <v>0</v>
      </c>
      <c r="O44" s="133">
        <v>6.4747999999999997E-4</v>
      </c>
      <c r="P44" s="133">
        <v>4.53236E-3</v>
      </c>
      <c r="Q44" s="133">
        <v>7.7697600000000006E-3</v>
      </c>
      <c r="R44" s="133">
        <v>7.7697600000000006E-3</v>
      </c>
      <c r="S44" s="134">
        <v>7.7697600000000006E-3</v>
      </c>
      <c r="U44" s="80"/>
      <c r="V44" s="94"/>
      <c r="W44" s="85"/>
      <c r="X44" s="90">
        <v>28</v>
      </c>
      <c r="Y44" s="93">
        <v>10</v>
      </c>
      <c r="Z44" s="107">
        <f t="shared" si="0"/>
        <v>37</v>
      </c>
      <c r="AA44" s="80"/>
      <c r="AB44" s="120">
        <v>37</v>
      </c>
      <c r="AC44" s="80"/>
      <c r="AD44" s="105">
        <v>18</v>
      </c>
      <c r="AE44" s="98" t="s">
        <v>802</v>
      </c>
      <c r="AF44" s="113"/>
    </row>
    <row r="45" spans="2:32" ht="20.5" x14ac:dyDescent="0.8">
      <c r="B45" s="81" t="s">
        <v>1039</v>
      </c>
      <c r="C45" s="79" t="s">
        <v>801</v>
      </c>
      <c r="D45" s="79">
        <v>3</v>
      </c>
      <c r="E45" s="133">
        <v>0</v>
      </c>
      <c r="F45" s="133">
        <v>0</v>
      </c>
      <c r="G45" s="133">
        <v>0</v>
      </c>
      <c r="H45" s="133">
        <v>0</v>
      </c>
      <c r="I45" s="133">
        <v>0</v>
      </c>
      <c r="J45" s="133">
        <v>0</v>
      </c>
      <c r="K45" s="134">
        <v>0</v>
      </c>
      <c r="M45" s="135">
        <v>0</v>
      </c>
      <c r="N45" s="133">
        <v>0</v>
      </c>
      <c r="O45" s="133">
        <v>0</v>
      </c>
      <c r="P45" s="133">
        <v>0</v>
      </c>
      <c r="Q45" s="133">
        <v>0</v>
      </c>
      <c r="R45" s="133">
        <v>0</v>
      </c>
      <c r="S45" s="134">
        <v>0</v>
      </c>
      <c r="U45" s="90">
        <v>12</v>
      </c>
      <c r="V45" s="94">
        <v>9</v>
      </c>
      <c r="W45" s="85">
        <v>7</v>
      </c>
      <c r="X45" s="90">
        <v>48</v>
      </c>
      <c r="Y45" s="93">
        <v>10</v>
      </c>
      <c r="Z45" s="107">
        <f t="shared" si="0"/>
        <v>2654</v>
      </c>
      <c r="AA45" s="136">
        <v>2654</v>
      </c>
      <c r="AB45" s="80"/>
      <c r="AC45" s="80"/>
      <c r="AD45" s="105">
        <v>0</v>
      </c>
      <c r="AE45" s="98" t="s">
        <v>802</v>
      </c>
      <c r="AF45" s="114"/>
    </row>
    <row r="46" spans="2:32" ht="20.5" x14ac:dyDescent="0.8">
      <c r="B46" s="81" t="s">
        <v>1040</v>
      </c>
      <c r="C46" s="79" t="s">
        <v>801</v>
      </c>
      <c r="D46" s="79">
        <v>3</v>
      </c>
      <c r="E46" s="133">
        <v>0</v>
      </c>
      <c r="F46" s="133">
        <v>0.20096357999999998</v>
      </c>
      <c r="G46" s="133">
        <v>0.42242236</v>
      </c>
      <c r="H46" s="133">
        <v>0.37620028999999999</v>
      </c>
      <c r="I46" s="133">
        <v>5.7304629999999995E-2</v>
      </c>
      <c r="J46" s="133">
        <v>0</v>
      </c>
      <c r="K46" s="134">
        <v>0</v>
      </c>
      <c r="M46" s="135">
        <v>0</v>
      </c>
      <c r="N46" s="133">
        <v>0</v>
      </c>
      <c r="O46" s="133">
        <v>0</v>
      </c>
      <c r="P46" s="133">
        <v>6.1099200000000005E-3</v>
      </c>
      <c r="Q46" s="133">
        <v>1.425657E-2</v>
      </c>
      <c r="R46" s="133">
        <v>1.6293309999999998E-2</v>
      </c>
      <c r="S46" s="134">
        <v>1.6293290000000002E-2</v>
      </c>
      <c r="U46" s="80"/>
      <c r="V46" s="94"/>
      <c r="W46" s="85"/>
      <c r="X46" s="90">
        <v>80</v>
      </c>
      <c r="Y46" s="93">
        <v>10</v>
      </c>
      <c r="Z46" s="107">
        <f t="shared" si="0"/>
        <v>1019.19</v>
      </c>
      <c r="AA46" s="80">
        <v>1019.19</v>
      </c>
      <c r="AB46" s="80"/>
      <c r="AC46" s="80"/>
      <c r="AD46" s="105">
        <v>70</v>
      </c>
      <c r="AE46" s="98" t="s">
        <v>802</v>
      </c>
      <c r="AF46" s="114"/>
    </row>
    <row r="47" spans="2:32" ht="20.5" x14ac:dyDescent="0.8">
      <c r="B47" s="81" t="s">
        <v>1041</v>
      </c>
      <c r="C47" s="79" t="s">
        <v>801</v>
      </c>
      <c r="D47" s="79">
        <v>3</v>
      </c>
      <c r="E47" s="133">
        <v>0</v>
      </c>
      <c r="F47" s="133">
        <v>0</v>
      </c>
      <c r="G47" s="133">
        <v>8.0444000000000002E-4</v>
      </c>
      <c r="H47" s="133">
        <v>4.3128420000000001E-2</v>
      </c>
      <c r="I47" s="133">
        <v>3.4940930000000002E-2</v>
      </c>
      <c r="J47" s="133">
        <v>0</v>
      </c>
      <c r="K47" s="134">
        <v>0</v>
      </c>
      <c r="M47" s="135">
        <v>0</v>
      </c>
      <c r="N47" s="133">
        <v>0</v>
      </c>
      <c r="O47" s="133">
        <v>0</v>
      </c>
      <c r="P47" s="133">
        <v>0</v>
      </c>
      <c r="Q47" s="133">
        <v>0</v>
      </c>
      <c r="R47" s="133">
        <v>0</v>
      </c>
      <c r="S47" s="134">
        <v>0</v>
      </c>
      <c r="U47" s="90">
        <v>12</v>
      </c>
      <c r="V47" s="94">
        <v>50</v>
      </c>
      <c r="W47" s="85">
        <v>53</v>
      </c>
      <c r="X47" s="90">
        <v>18</v>
      </c>
      <c r="Y47" s="93">
        <v>10</v>
      </c>
      <c r="Z47" s="107">
        <f t="shared" si="0"/>
        <v>20</v>
      </c>
      <c r="AA47" s="110">
        <v>20</v>
      </c>
      <c r="AB47" s="80"/>
      <c r="AC47" s="80"/>
      <c r="AD47" s="105">
        <v>41.5</v>
      </c>
      <c r="AE47" s="98"/>
      <c r="AF47" s="114"/>
    </row>
    <row r="48" spans="2:32" ht="20.5" x14ac:dyDescent="0.8">
      <c r="B48" s="81" t="s">
        <v>1042</v>
      </c>
      <c r="C48" s="79" t="s">
        <v>801</v>
      </c>
      <c r="D48" s="79">
        <v>3</v>
      </c>
      <c r="E48" s="133">
        <v>0</v>
      </c>
      <c r="F48" s="133">
        <v>0</v>
      </c>
      <c r="G48" s="133">
        <v>0</v>
      </c>
      <c r="H48" s="133">
        <v>0.15520832999999998</v>
      </c>
      <c r="I48" s="133">
        <v>0.27278174999999999</v>
      </c>
      <c r="J48" s="133">
        <v>0.19726754999999999</v>
      </c>
      <c r="K48" s="134">
        <v>0</v>
      </c>
      <c r="M48" s="135">
        <v>0</v>
      </c>
      <c r="N48" s="133">
        <v>0</v>
      </c>
      <c r="O48" s="133">
        <v>0</v>
      </c>
      <c r="P48" s="133">
        <v>0</v>
      </c>
      <c r="Q48" s="133">
        <v>0</v>
      </c>
      <c r="R48" s="133">
        <v>5.7740400000000002E-3</v>
      </c>
      <c r="S48" s="134">
        <v>1.154816E-2</v>
      </c>
      <c r="U48" s="90">
        <v>185</v>
      </c>
      <c r="V48" s="94">
        <v>128</v>
      </c>
      <c r="W48" s="87">
        <v>31</v>
      </c>
      <c r="X48" s="87">
        <v>41</v>
      </c>
      <c r="Y48" s="93">
        <v>10</v>
      </c>
      <c r="Z48" s="107">
        <f t="shared" si="0"/>
        <v>340.56</v>
      </c>
      <c r="AA48" s="80"/>
      <c r="AB48" s="120">
        <v>340.56</v>
      </c>
      <c r="AC48" s="80"/>
      <c r="AD48" s="105">
        <v>69.5</v>
      </c>
      <c r="AE48" s="98" t="s">
        <v>802</v>
      </c>
      <c r="AF48" s="115"/>
    </row>
    <row r="49" spans="2:32" ht="20.5" x14ac:dyDescent="0.8">
      <c r="B49" s="81" t="s">
        <v>1043</v>
      </c>
      <c r="C49" s="79" t="s">
        <v>801</v>
      </c>
      <c r="D49" s="79">
        <v>3</v>
      </c>
      <c r="E49" s="133">
        <v>0</v>
      </c>
      <c r="F49" s="133">
        <v>7.7193429999999993E-2</v>
      </c>
      <c r="G49" s="133">
        <v>9.7205079999999999E-2</v>
      </c>
      <c r="H49" s="133">
        <v>3.7620680000000004E-2</v>
      </c>
      <c r="I49" s="133">
        <v>0</v>
      </c>
      <c r="J49" s="133">
        <v>0</v>
      </c>
      <c r="K49" s="134">
        <v>0</v>
      </c>
      <c r="M49" s="135">
        <v>0</v>
      </c>
      <c r="N49" s="133">
        <v>0</v>
      </c>
      <c r="O49" s="133">
        <v>0</v>
      </c>
      <c r="P49" s="133">
        <v>0</v>
      </c>
      <c r="Q49" s="133">
        <v>0</v>
      </c>
      <c r="R49" s="133">
        <v>0</v>
      </c>
      <c r="S49" s="134">
        <v>0</v>
      </c>
      <c r="U49" s="90">
        <v>53</v>
      </c>
      <c r="V49" s="94">
        <v>31</v>
      </c>
      <c r="W49" s="158">
        <v>19</v>
      </c>
      <c r="X49" s="85">
        <v>365</v>
      </c>
      <c r="Y49" s="93">
        <v>10</v>
      </c>
      <c r="Z49" s="107">
        <f t="shared" si="0"/>
        <v>321.22199999999998</v>
      </c>
      <c r="AA49" s="110">
        <f>243.35*1.32</f>
        <v>321.22199999999998</v>
      </c>
      <c r="AB49" s="80"/>
      <c r="AC49" s="80"/>
      <c r="AD49" s="105">
        <v>15</v>
      </c>
      <c r="AE49" s="98" t="s">
        <v>802</v>
      </c>
      <c r="AF49" s="114"/>
    </row>
    <row r="50" spans="2:32" ht="20.5" x14ac:dyDescent="0.8">
      <c r="B50" s="81" t="s">
        <v>1044</v>
      </c>
      <c r="C50" s="79" t="s">
        <v>801</v>
      </c>
      <c r="D50" s="79">
        <v>3</v>
      </c>
      <c r="E50" s="133">
        <v>0</v>
      </c>
      <c r="F50" s="133">
        <v>0.13188203000000001</v>
      </c>
      <c r="G50" s="133">
        <v>0.15273585999999997</v>
      </c>
      <c r="H50" s="133">
        <v>4.3638759999999999E-2</v>
      </c>
      <c r="I50" s="133">
        <v>0</v>
      </c>
      <c r="J50" s="133">
        <v>0</v>
      </c>
      <c r="K50" s="134">
        <v>0</v>
      </c>
      <c r="M50" s="135">
        <v>0</v>
      </c>
      <c r="N50" s="133">
        <v>0</v>
      </c>
      <c r="O50" s="133">
        <v>0</v>
      </c>
      <c r="P50" s="133">
        <v>0</v>
      </c>
      <c r="Q50" s="133">
        <v>0</v>
      </c>
      <c r="R50" s="133">
        <v>0</v>
      </c>
      <c r="S50" s="134">
        <v>0</v>
      </c>
      <c r="U50" s="90">
        <v>87</v>
      </c>
      <c r="V50" s="94">
        <v>87</v>
      </c>
      <c r="W50" s="85">
        <v>36</v>
      </c>
      <c r="X50" s="90">
        <v>13</v>
      </c>
      <c r="Y50" s="93">
        <v>10</v>
      </c>
      <c r="Z50" s="107">
        <f t="shared" si="0"/>
        <v>129.36000000000001</v>
      </c>
      <c r="AA50" s="106"/>
      <c r="AB50" s="80"/>
      <c r="AC50" s="80">
        <v>129.36000000000001</v>
      </c>
      <c r="AD50" s="105">
        <v>51.5</v>
      </c>
      <c r="AE50" s="98" t="s">
        <v>802</v>
      </c>
      <c r="AF50" s="113"/>
    </row>
    <row r="51" spans="2:32" ht="20.5" x14ac:dyDescent="0.8">
      <c r="B51" s="81" t="s">
        <v>1045</v>
      </c>
      <c r="C51" s="79" t="s">
        <v>801</v>
      </c>
      <c r="D51" s="79">
        <v>3</v>
      </c>
      <c r="E51" s="133">
        <v>0</v>
      </c>
      <c r="F51" s="133">
        <v>0</v>
      </c>
      <c r="G51" s="133">
        <v>0.85120514000000003</v>
      </c>
      <c r="H51" s="133">
        <v>2.4127217400000003</v>
      </c>
      <c r="I51" s="133">
        <v>4.3917606900000008</v>
      </c>
      <c r="J51" s="133">
        <v>3.2048456000000001</v>
      </c>
      <c r="K51" s="134">
        <v>0</v>
      </c>
      <c r="M51" s="135">
        <v>0</v>
      </c>
      <c r="N51" s="133">
        <v>0</v>
      </c>
      <c r="O51" s="133">
        <v>0</v>
      </c>
      <c r="P51" s="133">
        <v>0</v>
      </c>
      <c r="Q51" s="133">
        <v>0</v>
      </c>
      <c r="R51" s="133">
        <v>0.27822575999999999</v>
      </c>
      <c r="S51" s="134">
        <v>0.55645140000000004</v>
      </c>
      <c r="U51" s="80"/>
      <c r="V51" s="94"/>
      <c r="W51" s="85"/>
      <c r="X51" s="85">
        <v>72</v>
      </c>
      <c r="Y51" s="93">
        <v>10</v>
      </c>
      <c r="Z51" s="107">
        <f t="shared" si="0"/>
        <v>16227.684000000001</v>
      </c>
      <c r="AA51" s="110">
        <f>12293.7*1.32</f>
        <v>16227.684000000001</v>
      </c>
      <c r="AB51" s="80"/>
      <c r="AC51" s="80"/>
      <c r="AD51" s="105">
        <v>62</v>
      </c>
      <c r="AE51" s="98" t="s">
        <v>802</v>
      </c>
      <c r="AF51" s="114"/>
    </row>
    <row r="52" spans="2:32" ht="20.5" x14ac:dyDescent="0.8">
      <c r="B52" s="81" t="s">
        <v>1046</v>
      </c>
      <c r="C52" s="79" t="s">
        <v>801</v>
      </c>
      <c r="D52" s="79">
        <v>3</v>
      </c>
      <c r="E52" s="133">
        <v>0</v>
      </c>
      <c r="F52" s="133">
        <v>0.31332271</v>
      </c>
      <c r="G52" s="133">
        <v>0.36286682000000003</v>
      </c>
      <c r="H52" s="133">
        <v>0.10367613000000001</v>
      </c>
      <c r="I52" s="133">
        <v>0</v>
      </c>
      <c r="J52" s="133">
        <v>0</v>
      </c>
      <c r="K52" s="134">
        <v>0</v>
      </c>
      <c r="M52" s="135">
        <v>0</v>
      </c>
      <c r="N52" s="133">
        <v>0</v>
      </c>
      <c r="O52" s="133">
        <v>2.2539999999999998E-5</v>
      </c>
      <c r="P52" s="133">
        <v>6.1249999999999998E-5</v>
      </c>
      <c r="Q52" s="133">
        <v>7.7400000000000011E-5</v>
      </c>
      <c r="R52" s="133">
        <v>7.7400000000000011E-5</v>
      </c>
      <c r="S52" s="134">
        <v>7.7400000000000011E-5</v>
      </c>
      <c r="U52" s="90">
        <v>34</v>
      </c>
      <c r="V52" s="94">
        <v>39</v>
      </c>
      <c r="W52" s="85">
        <v>8</v>
      </c>
      <c r="X52" s="85">
        <v>365</v>
      </c>
      <c r="Y52" s="93">
        <v>10</v>
      </c>
      <c r="Z52" s="107">
        <f t="shared" si="0"/>
        <v>977.17</v>
      </c>
      <c r="AA52" s="80"/>
      <c r="AB52" s="80"/>
      <c r="AC52" s="80">
        <v>977.17</v>
      </c>
      <c r="AD52" s="105">
        <v>13.5</v>
      </c>
      <c r="AE52" s="98" t="s">
        <v>802</v>
      </c>
      <c r="AF52" s="114"/>
    </row>
    <row r="53" spans="2:32" ht="20.5" x14ac:dyDescent="0.8">
      <c r="B53" s="81" t="s">
        <v>1047</v>
      </c>
      <c r="C53" s="79" t="s">
        <v>801</v>
      </c>
      <c r="D53" s="79">
        <v>3</v>
      </c>
      <c r="E53" s="133">
        <v>0</v>
      </c>
      <c r="F53" s="133">
        <v>0</v>
      </c>
      <c r="G53" s="133">
        <v>5.5695324400000006</v>
      </c>
      <c r="H53" s="133">
        <v>15.786713779999999</v>
      </c>
      <c r="I53" s="133">
        <v>28.735791379999998</v>
      </c>
      <c r="J53" s="133">
        <v>20.96967051</v>
      </c>
      <c r="K53" s="134">
        <v>0</v>
      </c>
      <c r="M53" s="135">
        <v>0</v>
      </c>
      <c r="N53" s="133">
        <v>0</v>
      </c>
      <c r="O53" s="133">
        <v>0</v>
      </c>
      <c r="P53" s="133">
        <v>0</v>
      </c>
      <c r="Q53" s="133">
        <v>0</v>
      </c>
      <c r="R53" s="133">
        <v>0.48918996000000003</v>
      </c>
      <c r="S53" s="134">
        <v>0.97837992000000007</v>
      </c>
      <c r="U53" s="90">
        <v>23</v>
      </c>
      <c r="V53" s="94">
        <v>77</v>
      </c>
      <c r="W53" s="85">
        <v>64</v>
      </c>
      <c r="X53" s="85">
        <v>115</v>
      </c>
      <c r="Y53" s="93">
        <v>10</v>
      </c>
      <c r="Z53" s="107">
        <f t="shared" si="0"/>
        <v>113150.48</v>
      </c>
      <c r="AA53" s="80">
        <v>113150.48</v>
      </c>
      <c r="AB53" s="80"/>
      <c r="AC53" s="80"/>
      <c r="AD53" s="105">
        <v>68.5</v>
      </c>
      <c r="AE53" s="98" t="s">
        <v>802</v>
      </c>
      <c r="AF53" s="113">
        <v>2</v>
      </c>
    </row>
    <row r="54" spans="2:32" ht="20.5" x14ac:dyDescent="0.8">
      <c r="B54" s="81" t="s">
        <v>1048</v>
      </c>
      <c r="C54" s="79" t="s">
        <v>801</v>
      </c>
      <c r="D54" s="79">
        <v>3</v>
      </c>
      <c r="E54" s="133">
        <v>0</v>
      </c>
      <c r="F54" s="133">
        <v>0.23116127</v>
      </c>
      <c r="G54" s="133">
        <v>0.48589751000000003</v>
      </c>
      <c r="H54" s="133">
        <v>0.43272988000000001</v>
      </c>
      <c r="I54" s="133">
        <v>6.5915490000000007E-2</v>
      </c>
      <c r="J54" s="133">
        <v>0</v>
      </c>
      <c r="K54" s="134">
        <v>0</v>
      </c>
      <c r="M54" s="135">
        <v>0</v>
      </c>
      <c r="N54" s="133">
        <v>0</v>
      </c>
      <c r="O54" s="133">
        <v>0</v>
      </c>
      <c r="P54" s="133">
        <v>6.69492E-3</v>
      </c>
      <c r="Q54" s="133">
        <v>1.562148E-2</v>
      </c>
      <c r="R54" s="133">
        <v>1.7853130000000002E-2</v>
      </c>
      <c r="S54" s="134">
        <v>1.785312E-2</v>
      </c>
      <c r="U54" s="90">
        <v>14</v>
      </c>
      <c r="V54" s="94">
        <v>0</v>
      </c>
      <c r="W54" s="85">
        <v>13</v>
      </c>
      <c r="X54" s="85">
        <v>77</v>
      </c>
      <c r="Y54" s="93">
        <v>10</v>
      </c>
      <c r="Z54" s="107">
        <f t="shared" si="0"/>
        <v>1370</v>
      </c>
      <c r="AA54" s="106">
        <v>1370</v>
      </c>
      <c r="AB54" s="80"/>
      <c r="AC54" s="80"/>
      <c r="AD54" s="105">
        <v>0</v>
      </c>
      <c r="AE54" s="98" t="s">
        <v>802</v>
      </c>
      <c r="AF54" s="114"/>
    </row>
    <row r="55" spans="2:32" ht="20.5" x14ac:dyDescent="0.8">
      <c r="B55" s="81" t="s">
        <v>1049</v>
      </c>
      <c r="C55" s="79" t="s">
        <v>801</v>
      </c>
      <c r="D55" s="79">
        <v>3</v>
      </c>
      <c r="E55" s="133">
        <v>0</v>
      </c>
      <c r="F55" s="133">
        <v>0.16481717999999998</v>
      </c>
      <c r="G55" s="133">
        <v>0.30799916999999999</v>
      </c>
      <c r="H55" s="133">
        <v>0.23733538000000001</v>
      </c>
      <c r="I55" s="133">
        <v>1.2515149999999999E-2</v>
      </c>
      <c r="J55" s="133">
        <v>0</v>
      </c>
      <c r="K55" s="134">
        <v>0</v>
      </c>
      <c r="M55" s="135">
        <v>0</v>
      </c>
      <c r="N55" s="133">
        <v>0</v>
      </c>
      <c r="O55" s="133">
        <v>0</v>
      </c>
      <c r="P55" s="133">
        <v>5.6092299999999998E-3</v>
      </c>
      <c r="Q55" s="133">
        <v>1.172839E-2</v>
      </c>
      <c r="R55" s="133">
        <v>1.223843E-2</v>
      </c>
      <c r="S55" s="134">
        <v>1.223844E-2</v>
      </c>
      <c r="U55" s="90"/>
      <c r="V55" s="94">
        <v>0</v>
      </c>
      <c r="W55" s="85">
        <v>13</v>
      </c>
      <c r="X55" s="85">
        <v>86</v>
      </c>
      <c r="Y55" s="93">
        <v>10</v>
      </c>
      <c r="Z55" s="107">
        <f t="shared" si="0"/>
        <v>376.3</v>
      </c>
      <c r="AA55" s="80">
        <v>376.3</v>
      </c>
      <c r="AB55" s="80"/>
      <c r="AC55" s="80"/>
      <c r="AD55" s="105">
        <v>3</v>
      </c>
      <c r="AE55" s="98" t="s">
        <v>802</v>
      </c>
      <c r="AF55" s="114"/>
    </row>
    <row r="56" spans="2:32" ht="20.5" x14ac:dyDescent="0.8">
      <c r="B56" s="81" t="s">
        <v>1050</v>
      </c>
      <c r="C56" s="79" t="s">
        <v>801</v>
      </c>
      <c r="D56" s="79">
        <v>3</v>
      </c>
      <c r="E56" s="133">
        <v>0</v>
      </c>
      <c r="F56" s="133">
        <v>2.4474340000000001E-2</v>
      </c>
      <c r="G56" s="133">
        <v>2.8344319999999999E-2</v>
      </c>
      <c r="H56" s="133">
        <v>8.0983599999999989E-3</v>
      </c>
      <c r="I56" s="133">
        <v>0</v>
      </c>
      <c r="J56" s="133">
        <v>0</v>
      </c>
      <c r="K56" s="134">
        <v>0</v>
      </c>
      <c r="M56" s="135">
        <v>0</v>
      </c>
      <c r="N56" s="133">
        <v>0</v>
      </c>
      <c r="O56" s="133">
        <v>2.2539999999999998E-5</v>
      </c>
      <c r="P56" s="133">
        <v>6.1249999999999998E-5</v>
      </c>
      <c r="Q56" s="133">
        <v>7.7400000000000011E-5</v>
      </c>
      <c r="R56" s="133">
        <v>7.7400000000000011E-5</v>
      </c>
      <c r="S56" s="134">
        <v>7.7400000000000011E-5</v>
      </c>
      <c r="U56" s="80"/>
      <c r="V56" s="94"/>
      <c r="W56" s="85"/>
      <c r="X56" s="85"/>
      <c r="Y56" s="93">
        <v>10</v>
      </c>
      <c r="Z56" s="107">
        <f t="shared" si="0"/>
        <v>17.423999999999999</v>
      </c>
      <c r="AA56" s="80"/>
      <c r="AB56" s="80"/>
      <c r="AC56" s="80">
        <f>13.2*1.32</f>
        <v>17.423999999999999</v>
      </c>
      <c r="AD56" s="105"/>
      <c r="AE56" s="98" t="s">
        <v>802</v>
      </c>
      <c r="AF56" s="113"/>
    </row>
    <row r="57" spans="2:32" ht="20.5" x14ac:dyDescent="0.8">
      <c r="B57" s="81" t="s">
        <v>1051</v>
      </c>
      <c r="C57" s="79" t="s">
        <v>801</v>
      </c>
      <c r="D57" s="79">
        <v>3</v>
      </c>
      <c r="E57" s="133">
        <v>0</v>
      </c>
      <c r="F57" s="133">
        <v>0.12159153</v>
      </c>
      <c r="G57" s="133">
        <v>0.32424390000000003</v>
      </c>
      <c r="H57" s="133">
        <v>9.4571130000000003E-2</v>
      </c>
      <c r="I57" s="133">
        <v>0</v>
      </c>
      <c r="J57" s="133">
        <v>0</v>
      </c>
      <c r="K57" s="134">
        <v>0</v>
      </c>
      <c r="M57" s="135">
        <v>0</v>
      </c>
      <c r="N57" s="133">
        <v>0</v>
      </c>
      <c r="O57" s="133">
        <v>3.5326799999999998E-3</v>
      </c>
      <c r="P57" s="133">
        <v>8.2428299999999996E-3</v>
      </c>
      <c r="Q57" s="133">
        <v>9.4203600000000009E-3</v>
      </c>
      <c r="R57" s="133">
        <v>9.4203600000000009E-3</v>
      </c>
      <c r="S57" s="134">
        <v>9.4203600000000009E-3</v>
      </c>
      <c r="U57" s="90"/>
      <c r="V57" s="94">
        <v>30</v>
      </c>
      <c r="W57" s="85"/>
      <c r="X57" s="85"/>
      <c r="Y57" s="93">
        <v>10</v>
      </c>
      <c r="Z57" s="107">
        <f t="shared" si="0"/>
        <v>120</v>
      </c>
      <c r="AA57" s="136">
        <v>120</v>
      </c>
      <c r="AB57" s="80"/>
      <c r="AC57" s="80"/>
      <c r="AD57" s="105">
        <v>20</v>
      </c>
      <c r="AE57" s="98"/>
      <c r="AF57" s="115"/>
    </row>
    <row r="58" spans="2:32" ht="20.5" x14ac:dyDescent="0.8">
      <c r="B58" s="81" t="s">
        <v>1052</v>
      </c>
      <c r="C58" s="79" t="s">
        <v>801</v>
      </c>
      <c r="D58" s="79">
        <v>3</v>
      </c>
      <c r="E58" s="133">
        <v>0</v>
      </c>
      <c r="F58" s="133">
        <v>0</v>
      </c>
      <c r="G58" s="133">
        <v>2.5663439999999999E-2</v>
      </c>
      <c r="H58" s="133">
        <v>0.45668831999999998</v>
      </c>
      <c r="I58" s="133">
        <v>0.7752868100000001</v>
      </c>
      <c r="J58" s="133">
        <v>0.55513458999999998</v>
      </c>
      <c r="K58" s="134">
        <v>0</v>
      </c>
      <c r="M58" s="135">
        <v>0</v>
      </c>
      <c r="N58" s="133">
        <v>0</v>
      </c>
      <c r="O58" s="133">
        <v>0</v>
      </c>
      <c r="P58" s="133">
        <v>0</v>
      </c>
      <c r="Q58" s="133">
        <v>0</v>
      </c>
      <c r="R58" s="133">
        <v>2.3232E-4</v>
      </c>
      <c r="S58" s="134">
        <v>4.6464E-4</v>
      </c>
      <c r="U58" s="90">
        <v>48</v>
      </c>
      <c r="V58" s="94">
        <v>52</v>
      </c>
      <c r="W58" s="85">
        <v>34</v>
      </c>
      <c r="X58" s="85">
        <v>19</v>
      </c>
      <c r="Y58" s="93">
        <v>10</v>
      </c>
      <c r="Z58" s="107">
        <f t="shared" si="0"/>
        <v>413</v>
      </c>
      <c r="AA58" s="110">
        <f>215.45*1.32</f>
        <v>284.39400000000001</v>
      </c>
      <c r="AB58" s="127"/>
      <c r="AC58" s="115">
        <f>413-AA58</f>
        <v>128.60599999999999</v>
      </c>
      <c r="AD58" s="105">
        <v>33</v>
      </c>
      <c r="AE58" s="98" t="s">
        <v>802</v>
      </c>
      <c r="AF58" s="114"/>
    </row>
    <row r="59" spans="2:32" ht="20.5" x14ac:dyDescent="0.8">
      <c r="B59" s="81" t="s">
        <v>1053</v>
      </c>
      <c r="C59" s="79" t="s">
        <v>801</v>
      </c>
      <c r="D59" s="79">
        <v>3</v>
      </c>
      <c r="E59" s="133">
        <v>0.58088795999999998</v>
      </c>
      <c r="F59" s="133">
        <v>0.40315800000000002</v>
      </c>
      <c r="G59" s="133">
        <v>0.40315800000000002</v>
      </c>
      <c r="H59" s="133">
        <v>0</v>
      </c>
      <c r="I59" s="133">
        <v>0</v>
      </c>
      <c r="J59" s="133">
        <v>0</v>
      </c>
      <c r="K59" s="134">
        <v>0</v>
      </c>
      <c r="M59" s="135">
        <v>0</v>
      </c>
      <c r="N59" s="133">
        <v>0</v>
      </c>
      <c r="O59" s="133">
        <v>0</v>
      </c>
      <c r="P59" s="133">
        <v>2.905044E-2</v>
      </c>
      <c r="Q59" s="133">
        <v>2.9050380000000001E-2</v>
      </c>
      <c r="R59" s="133">
        <v>2.9050380000000001E-2</v>
      </c>
      <c r="S59" s="134">
        <v>2.9050380000000001E-2</v>
      </c>
      <c r="U59" s="80"/>
      <c r="V59" s="155"/>
      <c r="W59" s="87"/>
      <c r="X59" s="96">
        <v>25</v>
      </c>
      <c r="Y59" s="93">
        <v>10</v>
      </c>
      <c r="Z59" s="107">
        <f t="shared" si="0"/>
        <v>2981</v>
      </c>
      <c r="AA59" s="80"/>
      <c r="AB59" s="80">
        <v>2981</v>
      </c>
      <c r="AC59" s="80"/>
      <c r="AD59" s="105">
        <v>23.6</v>
      </c>
      <c r="AE59" s="101" t="s">
        <v>802</v>
      </c>
      <c r="AF59" s="113">
        <v>2</v>
      </c>
    </row>
    <row r="60" spans="2:32" ht="20.5" x14ac:dyDescent="0.8">
      <c r="B60" s="81" t="s">
        <v>1054</v>
      </c>
      <c r="C60" s="79" t="s">
        <v>801</v>
      </c>
      <c r="D60" s="79">
        <v>3</v>
      </c>
      <c r="E60" s="133">
        <v>0</v>
      </c>
      <c r="F60" s="133">
        <v>0.13965433999999999</v>
      </c>
      <c r="G60" s="133">
        <v>0.24544537</v>
      </c>
      <c r="H60" s="133">
        <v>0.17749869000000001</v>
      </c>
      <c r="I60" s="133">
        <v>0</v>
      </c>
      <c r="J60" s="133">
        <v>0</v>
      </c>
      <c r="K60" s="134">
        <v>0</v>
      </c>
      <c r="M60" s="135">
        <v>0</v>
      </c>
      <c r="N60" s="133">
        <v>0</v>
      </c>
      <c r="O60" s="133">
        <v>0</v>
      </c>
      <c r="P60" s="133">
        <v>4.7174399999999998E-3</v>
      </c>
      <c r="Q60" s="133">
        <v>9.4350000000000007E-3</v>
      </c>
      <c r="R60" s="133">
        <v>9.4350000000000007E-3</v>
      </c>
      <c r="S60" s="134">
        <v>9.4350000000000007E-3</v>
      </c>
      <c r="U60" s="90"/>
      <c r="V60" s="94">
        <v>4</v>
      </c>
      <c r="W60" s="85">
        <v>58</v>
      </c>
      <c r="X60" s="85">
        <v>127</v>
      </c>
      <c r="Y60" s="93">
        <v>10</v>
      </c>
      <c r="Z60" s="107">
        <f t="shared" si="0"/>
        <v>237.55</v>
      </c>
      <c r="AA60" s="80"/>
      <c r="AB60" s="120">
        <v>237.55</v>
      </c>
      <c r="AC60" s="80"/>
      <c r="AD60" s="105">
        <v>21</v>
      </c>
      <c r="AE60" s="98" t="s">
        <v>802</v>
      </c>
      <c r="AF60" s="114"/>
    </row>
    <row r="61" spans="2:32" ht="20.5" x14ac:dyDescent="0.8">
      <c r="B61" s="81" t="s">
        <v>1055</v>
      </c>
      <c r="C61" s="79" t="s">
        <v>801</v>
      </c>
      <c r="D61" s="79">
        <v>3</v>
      </c>
      <c r="E61" s="133">
        <v>0.21935136</v>
      </c>
      <c r="F61" s="133">
        <v>0.26825628000000001</v>
      </c>
      <c r="G61" s="133">
        <v>0.26825628000000001</v>
      </c>
      <c r="H61" s="133">
        <v>0</v>
      </c>
      <c r="I61" s="133">
        <v>0</v>
      </c>
      <c r="J61" s="133">
        <v>0</v>
      </c>
      <c r="K61" s="134">
        <v>0</v>
      </c>
      <c r="M61" s="135">
        <v>0</v>
      </c>
      <c r="N61" s="133">
        <v>0</v>
      </c>
      <c r="O61" s="133">
        <v>0</v>
      </c>
      <c r="P61" s="133">
        <v>1.405728E-2</v>
      </c>
      <c r="Q61" s="133">
        <v>1.405728E-2</v>
      </c>
      <c r="R61" s="133">
        <v>1.405728E-2</v>
      </c>
      <c r="S61" s="134">
        <v>1.405728E-2</v>
      </c>
      <c r="U61" s="90"/>
      <c r="V61" s="94">
        <v>60</v>
      </c>
      <c r="W61" s="85">
        <v>58</v>
      </c>
      <c r="X61" s="85">
        <v>66</v>
      </c>
      <c r="Y61" s="93">
        <v>10</v>
      </c>
      <c r="Z61" s="107">
        <f t="shared" si="0"/>
        <v>728</v>
      </c>
      <c r="AA61" s="120"/>
      <c r="AB61" s="120">
        <v>728</v>
      </c>
      <c r="AC61" s="80"/>
      <c r="AD61" s="105">
        <v>49</v>
      </c>
      <c r="AE61" s="85" t="s">
        <v>802</v>
      </c>
      <c r="AF61" s="114"/>
    </row>
    <row r="62" spans="2:32" ht="20.5" x14ac:dyDescent="0.8">
      <c r="B62" s="81" t="s">
        <v>1056</v>
      </c>
      <c r="C62" s="79" t="s">
        <v>801</v>
      </c>
      <c r="D62" s="79">
        <v>3</v>
      </c>
      <c r="E62" s="133">
        <v>0</v>
      </c>
      <c r="F62" s="133">
        <v>0.17087988000000001</v>
      </c>
      <c r="G62" s="133">
        <v>0.22853404999999999</v>
      </c>
      <c r="H62" s="133">
        <v>0.10098689</v>
      </c>
      <c r="I62" s="133">
        <v>0</v>
      </c>
      <c r="J62" s="133">
        <v>0</v>
      </c>
      <c r="K62" s="134">
        <v>0</v>
      </c>
      <c r="M62" s="135">
        <v>0</v>
      </c>
      <c r="N62" s="133">
        <v>0</v>
      </c>
      <c r="O62" s="133">
        <v>1.288E-5</v>
      </c>
      <c r="P62" s="133">
        <v>5.1560000000000001E-5</v>
      </c>
      <c r="Q62" s="133">
        <v>7.7400000000000011E-5</v>
      </c>
      <c r="R62" s="133">
        <v>7.7400000000000011E-5</v>
      </c>
      <c r="S62" s="134">
        <v>7.7400000000000011E-5</v>
      </c>
      <c r="U62" s="90"/>
      <c r="V62" s="94">
        <v>123</v>
      </c>
      <c r="W62" s="85">
        <v>98</v>
      </c>
      <c r="X62" s="85">
        <v>54</v>
      </c>
      <c r="Y62" s="93">
        <v>10</v>
      </c>
      <c r="Z62" s="107">
        <f t="shared" si="0"/>
        <v>472.21680000000003</v>
      </c>
      <c r="AA62" s="80"/>
      <c r="AB62" s="80"/>
      <c r="AC62" s="80">
        <f>357.74*1.32</f>
        <v>472.21680000000003</v>
      </c>
      <c r="AD62" s="105">
        <v>100.5</v>
      </c>
      <c r="AE62" s="85" t="s">
        <v>802</v>
      </c>
      <c r="AF62" s="113"/>
    </row>
    <row r="63" spans="2:32" ht="20.5" x14ac:dyDescent="0.8">
      <c r="B63" s="81" t="s">
        <v>1057</v>
      </c>
      <c r="C63" s="79" t="s">
        <v>801</v>
      </c>
      <c r="D63" s="79">
        <v>3</v>
      </c>
      <c r="E63" s="133">
        <v>0</v>
      </c>
      <c r="F63" s="133">
        <v>0</v>
      </c>
      <c r="G63" s="133">
        <v>0</v>
      </c>
      <c r="H63" s="133">
        <v>0.12434535000000001</v>
      </c>
      <c r="I63" s="133">
        <v>0.24234602</v>
      </c>
      <c r="J63" s="133">
        <v>0.18747923</v>
      </c>
      <c r="K63" s="134">
        <v>0</v>
      </c>
      <c r="M63" s="135">
        <v>0</v>
      </c>
      <c r="N63" s="133">
        <v>0</v>
      </c>
      <c r="O63" s="133">
        <v>0</v>
      </c>
      <c r="P63" s="133">
        <v>0</v>
      </c>
      <c r="Q63" s="133">
        <v>0</v>
      </c>
      <c r="R63" s="133">
        <v>5.0624399999999996E-3</v>
      </c>
      <c r="S63" s="134">
        <v>1.0125E-2</v>
      </c>
      <c r="U63" s="80"/>
      <c r="V63" s="95"/>
      <c r="W63" s="85"/>
      <c r="X63" s="85">
        <v>24</v>
      </c>
      <c r="Y63" s="93">
        <v>10</v>
      </c>
      <c r="Z63" s="107">
        <f t="shared" si="0"/>
        <v>161</v>
      </c>
      <c r="AA63" s="80">
        <v>161</v>
      </c>
      <c r="AB63" s="80"/>
      <c r="AC63" s="80"/>
      <c r="AD63" s="105">
        <v>14</v>
      </c>
      <c r="AE63" s="89" t="s">
        <v>802</v>
      </c>
      <c r="AF63" s="117"/>
    </row>
    <row r="64" spans="2:32" ht="20.5" x14ac:dyDescent="0.8">
      <c r="B64" s="81" t="s">
        <v>1058</v>
      </c>
      <c r="C64" s="79" t="s">
        <v>801</v>
      </c>
      <c r="D64" s="79">
        <v>3</v>
      </c>
      <c r="E64" s="133">
        <v>0</v>
      </c>
      <c r="F64" s="133">
        <v>0.37699178999999999</v>
      </c>
      <c r="G64" s="133">
        <v>0.43660355000000001</v>
      </c>
      <c r="H64" s="133">
        <v>0.12474374000000001</v>
      </c>
      <c r="I64" s="133">
        <v>0</v>
      </c>
      <c r="J64" s="133">
        <v>0</v>
      </c>
      <c r="K64" s="134">
        <v>0</v>
      </c>
      <c r="M64" s="135">
        <v>0</v>
      </c>
      <c r="N64" s="133">
        <v>0</v>
      </c>
      <c r="O64" s="133">
        <v>2.2539999999999998E-5</v>
      </c>
      <c r="P64" s="133">
        <v>6.1249999999999998E-5</v>
      </c>
      <c r="Q64" s="133">
        <v>7.7400000000000011E-5</v>
      </c>
      <c r="R64" s="133">
        <v>7.7400000000000011E-5</v>
      </c>
      <c r="S64" s="134">
        <v>7.7400000000000011E-5</v>
      </c>
      <c r="U64" s="90">
        <v>14</v>
      </c>
      <c r="V64" s="96">
        <v>37</v>
      </c>
      <c r="W64" s="85">
        <v>13</v>
      </c>
      <c r="X64" s="90">
        <v>19</v>
      </c>
      <c r="Y64" s="93">
        <v>10</v>
      </c>
      <c r="Z64" s="107">
        <f t="shared" si="0"/>
        <v>132</v>
      </c>
      <c r="AA64" s="80"/>
      <c r="AB64" s="80"/>
      <c r="AC64" s="80">
        <f>100*1.32</f>
        <v>132</v>
      </c>
      <c r="AD64" s="105">
        <v>23</v>
      </c>
      <c r="AE64" s="85" t="s">
        <v>802</v>
      </c>
      <c r="AF64" s="113">
        <v>2</v>
      </c>
    </row>
    <row r="65" spans="2:32" ht="20.5" x14ac:dyDescent="0.8">
      <c r="B65" s="81" t="s">
        <v>1059</v>
      </c>
      <c r="C65" s="79" t="s">
        <v>801</v>
      </c>
      <c r="D65" s="79">
        <v>3</v>
      </c>
      <c r="E65" s="133">
        <v>0</v>
      </c>
      <c r="F65" s="133">
        <v>0</v>
      </c>
      <c r="G65" s="133">
        <v>2.699727E-2</v>
      </c>
      <c r="H65" s="133">
        <v>0.26923149000000002</v>
      </c>
      <c r="I65" s="133">
        <v>0.45962889000000001</v>
      </c>
      <c r="J65" s="133">
        <v>0.32789158000000002</v>
      </c>
      <c r="K65" s="134">
        <v>0</v>
      </c>
      <c r="M65" s="135">
        <v>0</v>
      </c>
      <c r="N65" s="133">
        <v>0</v>
      </c>
      <c r="O65" s="133">
        <v>0</v>
      </c>
      <c r="P65" s="133">
        <v>0</v>
      </c>
      <c r="Q65" s="133">
        <v>0</v>
      </c>
      <c r="R65" s="133">
        <v>1.0322280000000001E-2</v>
      </c>
      <c r="S65" s="134">
        <v>2.064444E-2</v>
      </c>
      <c r="U65" s="90">
        <v>52</v>
      </c>
      <c r="V65" s="96">
        <v>45</v>
      </c>
      <c r="W65" s="85">
        <v>16</v>
      </c>
      <c r="X65" s="85">
        <v>12</v>
      </c>
      <c r="Y65" s="93">
        <v>10</v>
      </c>
      <c r="Z65" s="107">
        <f t="shared" si="0"/>
        <v>1608.41</v>
      </c>
      <c r="AA65" s="80"/>
      <c r="AB65" s="120">
        <v>1608.41</v>
      </c>
      <c r="AC65" s="80"/>
      <c r="AD65" s="105">
        <v>20.5</v>
      </c>
      <c r="AE65" s="85" t="s">
        <v>802</v>
      </c>
      <c r="AF65" s="114"/>
    </row>
    <row r="66" spans="2:32" ht="20.5" x14ac:dyDescent="0.8">
      <c r="B66" s="84" t="s">
        <v>1060</v>
      </c>
      <c r="C66" s="79" t="s">
        <v>801</v>
      </c>
      <c r="D66" s="79">
        <v>3</v>
      </c>
      <c r="E66" s="133">
        <v>0.13342848000000002</v>
      </c>
      <c r="F66" s="133">
        <v>1.54840764</v>
      </c>
      <c r="G66" s="133">
        <v>1.54840764</v>
      </c>
      <c r="H66" s="133">
        <v>0</v>
      </c>
      <c r="I66" s="133">
        <v>0</v>
      </c>
      <c r="J66" s="133">
        <v>0</v>
      </c>
      <c r="K66" s="134">
        <v>0</v>
      </c>
      <c r="M66" s="135">
        <v>0</v>
      </c>
      <c r="N66" s="133">
        <v>0</v>
      </c>
      <c r="O66" s="133">
        <v>0</v>
      </c>
      <c r="P66" s="133">
        <v>6.6234479999999998E-2</v>
      </c>
      <c r="Q66" s="133">
        <v>6.6234600000000005E-2</v>
      </c>
      <c r="R66" s="133">
        <v>6.6234600000000005E-2</v>
      </c>
      <c r="S66" s="134">
        <v>6.6234600000000005E-2</v>
      </c>
      <c r="U66" s="80"/>
      <c r="V66" s="97"/>
      <c r="W66" s="85"/>
      <c r="X66" s="91">
        <v>90</v>
      </c>
      <c r="Y66" s="93">
        <v>10</v>
      </c>
      <c r="Z66" s="107">
        <f t="shared" si="0"/>
        <v>6045.6</v>
      </c>
      <c r="AA66" s="110"/>
      <c r="AB66" s="110">
        <f>2*3022.8</f>
        <v>6045.6</v>
      </c>
      <c r="AC66" s="80"/>
      <c r="AD66" s="105">
        <v>80</v>
      </c>
      <c r="AE66" s="102" t="s">
        <v>802</v>
      </c>
      <c r="AF66" s="118"/>
    </row>
    <row r="67" spans="2:32" ht="20.5" x14ac:dyDescent="0.8">
      <c r="B67" s="81" t="s">
        <v>1061</v>
      </c>
      <c r="C67" s="79" t="s">
        <v>801</v>
      </c>
      <c r="D67" s="79">
        <v>3</v>
      </c>
      <c r="E67" s="133">
        <v>0</v>
      </c>
      <c r="F67" s="133">
        <v>0</v>
      </c>
      <c r="G67" s="133">
        <v>1.0719154199999998</v>
      </c>
      <c r="H67" s="133">
        <v>3.03832016</v>
      </c>
      <c r="I67" s="133">
        <v>5.5305072300000004</v>
      </c>
      <c r="J67" s="133">
        <v>4.0358350700000001</v>
      </c>
      <c r="K67" s="134">
        <v>0</v>
      </c>
      <c r="M67" s="135">
        <v>0</v>
      </c>
      <c r="N67" s="133">
        <v>0</v>
      </c>
      <c r="O67" s="133">
        <v>0</v>
      </c>
      <c r="P67" s="133">
        <v>0</v>
      </c>
      <c r="Q67" s="133">
        <v>0</v>
      </c>
      <c r="R67" s="133">
        <v>8.4711120000000001E-2</v>
      </c>
      <c r="S67" s="134">
        <v>0.16942211999999998</v>
      </c>
      <c r="U67" s="90">
        <v>23</v>
      </c>
      <c r="V67" s="94">
        <v>52</v>
      </c>
      <c r="W67" s="85">
        <v>19</v>
      </c>
      <c r="X67" s="92">
        <v>49</v>
      </c>
      <c r="Y67" s="93">
        <v>10</v>
      </c>
      <c r="Z67" s="107">
        <f t="shared" si="0"/>
        <v>9882</v>
      </c>
      <c r="AA67" s="80">
        <f>9*1098</f>
        <v>9882</v>
      </c>
      <c r="AB67" s="80"/>
      <c r="AC67" s="80"/>
      <c r="AD67" s="105">
        <v>25.5</v>
      </c>
      <c r="AE67" s="88" t="s">
        <v>802</v>
      </c>
      <c r="AF67" s="105"/>
    </row>
    <row r="70" spans="2:32" x14ac:dyDescent="0.25">
      <c r="B70" t="s">
        <v>1062</v>
      </c>
    </row>
    <row r="71" spans="2:32" x14ac:dyDescent="0.25">
      <c r="B71" s="124" t="s">
        <v>1063</v>
      </c>
    </row>
    <row r="72" spans="2:32" x14ac:dyDescent="0.25">
      <c r="B72" t="s">
        <v>1064</v>
      </c>
    </row>
    <row r="73" spans="2:32" x14ac:dyDescent="0.25">
      <c r="B73" t="s">
        <v>1065</v>
      </c>
    </row>
    <row r="74" spans="2:32" x14ac:dyDescent="0.25">
      <c r="B74" t="s">
        <v>1066</v>
      </c>
    </row>
    <row r="75" spans="2:32" x14ac:dyDescent="0.25">
      <c r="B75" t="s">
        <v>1067</v>
      </c>
    </row>
  </sheetData>
  <mergeCells count="18">
    <mergeCell ref="A8:B8"/>
    <mergeCell ref="T8:U8"/>
    <mergeCell ref="B3:AE3"/>
    <mergeCell ref="A4:B4"/>
    <mergeCell ref="C4:D4"/>
    <mergeCell ref="L4:M4"/>
    <mergeCell ref="T4:U4"/>
    <mergeCell ref="B5:B6"/>
    <mergeCell ref="C5:C6"/>
    <mergeCell ref="D5:D6"/>
    <mergeCell ref="E5:K5"/>
    <mergeCell ref="M5:S5"/>
    <mergeCell ref="B1:AE1"/>
    <mergeCell ref="B2:AE2"/>
    <mergeCell ref="A7:B7"/>
    <mergeCell ref="C7:E7"/>
    <mergeCell ref="L7:M7"/>
    <mergeCell ref="T7:U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e9523b9-9c37-4c05-b1eb-7b6f416249bb">
      <Terms xmlns="http://schemas.microsoft.com/office/infopath/2007/PartnerControls"/>
    </lcf76f155ced4ddcb4097134ff3c332f>
    <_ip_UnifiedCompliancePolicyProperties xmlns="http://schemas.microsoft.com/sharepoint/v3" xsi:nil="true"/>
    <Batch xmlns="2e9523b9-9c37-4c05-b1eb-7b6f416249bb" xsi:nil="true"/>
    <TEST xmlns="2e9523b9-9c37-4c05-b1eb-7b6f416249bb"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2" ma:contentTypeDescription="Create a new document." ma:contentTypeScope="" ma:versionID="1407fb57b5b59b6ad13ed8cc6bab6965">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30b8069066f12f42f09ca0cde2d08829"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752DB9-3D45-424B-8477-5CD64F3C5812}">
  <ds:schemaRefs>
    <ds:schemaRef ds:uri="http://purl.org/dc/elements/1.1/"/>
    <ds:schemaRef ds:uri="http://schemas.microsoft.com/sharepoint/v3"/>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e9523b9-9c37-4c05-b1eb-7b6f416249bb"/>
    <ds:schemaRef ds:uri="http://www.w3.org/XML/1998/namespace"/>
    <ds:schemaRef ds:uri="http://purl.org/dc/terms/"/>
    <ds:schemaRef ds:uri="http://schemas.microsoft.com/office/2006/documentManagement/types"/>
    <ds:schemaRef ds:uri="75e05205-f2e1-4168-9176-3cea1311c638"/>
    <ds:schemaRef ds:uri="05c3d349-d7b5-4b99-a759-edf8a89fca83"/>
  </ds:schemaRefs>
</ds:datastoreItem>
</file>

<file path=customXml/itemProps2.xml><?xml version="1.0" encoding="utf-8"?>
<ds:datastoreItem xmlns:ds="http://schemas.openxmlformats.org/officeDocument/2006/customXml" ds:itemID="{7CD2053B-CDE0-40CB-9DB4-45134F289AA1}">
  <ds:schemaRefs>
    <ds:schemaRef ds:uri="http://schemas.microsoft.com/sharepoint/v3/contenttype/forms"/>
  </ds:schemaRefs>
</ds:datastoreItem>
</file>

<file path=customXml/itemProps3.xml><?xml version="1.0" encoding="utf-8"?>
<ds:datastoreItem xmlns:ds="http://schemas.openxmlformats.org/officeDocument/2006/customXml" ds:itemID="{3ADC9CBC-E870-4A0A-9E41-BB3489A37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Commentary</vt:lpstr>
      <vt:lpstr>1.Enh line groups&gt;&gt;&gt;</vt:lpstr>
      <vt:lpstr>Water</vt:lpstr>
      <vt:lpstr>Wastewater</vt:lpstr>
      <vt:lpstr>2.SO data req&gt;&gt;&gt;</vt:lpstr>
      <vt:lpstr>Spill reduction - Network</vt:lpstr>
      <vt:lpstr>Spill reduction - STW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2024-10-31T11:39:28Z</dcterms:created>
  <dcterms:modified xsi:type="dcterms:W3CDTF">2024-11-29T15:11:20Z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0x01010056CA1FEDC0F04146B2629EDF721CF670</vt:lpwstr>
  </property>
</Properties>
</file>